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3980" windowHeight="78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<sst xmlns="http://schemas.openxmlformats.org/spreadsheetml/2006/main" count="304" uniqueCount="79">
  <si>
    <t>Vealers 70-110 kg</t>
  </si>
  <si>
    <t>Head</t>
  </si>
  <si>
    <t xml:space="preserve">Tongue </t>
  </si>
  <si>
    <t>Root</t>
  </si>
  <si>
    <t>Cheek</t>
  </si>
  <si>
    <t>Feet</t>
  </si>
  <si>
    <t>Liver</t>
  </si>
  <si>
    <t>Lung</t>
  </si>
  <si>
    <t>Trachea</t>
  </si>
  <si>
    <t>Heart</t>
  </si>
  <si>
    <t>Skirt</t>
  </si>
  <si>
    <t>Kidney</t>
  </si>
  <si>
    <t>Spleen</t>
  </si>
  <si>
    <t>Paunch</t>
  </si>
  <si>
    <t>Bible</t>
  </si>
  <si>
    <t>Intestine</t>
  </si>
  <si>
    <t>Caul</t>
  </si>
  <si>
    <t>Ausmeat</t>
  </si>
  <si>
    <t>Tail</t>
  </si>
  <si>
    <t>Fat</t>
  </si>
  <si>
    <t>Bone</t>
  </si>
  <si>
    <t>% to rendering</t>
  </si>
  <si>
    <t>yield per head</t>
  </si>
  <si>
    <t xml:space="preserve">Protein </t>
  </si>
  <si>
    <t xml:space="preserve">ash </t>
  </si>
  <si>
    <t>fat</t>
  </si>
  <si>
    <t>Yield</t>
  </si>
  <si>
    <t>Yearlings 180 kg</t>
  </si>
  <si>
    <t>Lips</t>
  </si>
  <si>
    <t>Ausmeat trim</t>
  </si>
  <si>
    <t>Steers 280 kg grass fed</t>
  </si>
  <si>
    <t>Steers 370 kg grain fed</t>
  </si>
  <si>
    <t>Cows 200 kg</t>
  </si>
  <si>
    <t>SC Tongue</t>
  </si>
  <si>
    <t>Bull 300 kg</t>
  </si>
  <si>
    <t>Steer 220-340 kg</t>
  </si>
  <si>
    <t>Steer grain fed 300-400 kg</t>
  </si>
  <si>
    <t>Cow 150-300 kg</t>
  </si>
  <si>
    <t>Bull 220-420 kg</t>
  </si>
  <si>
    <t>Vealer 70-110 kg</t>
  </si>
  <si>
    <t>Yearling 110-220 kg</t>
  </si>
  <si>
    <t>Protein</t>
  </si>
  <si>
    <t>FFS</t>
  </si>
  <si>
    <t>Slaughter floor soft</t>
  </si>
  <si>
    <t>Total slaughter floor</t>
  </si>
  <si>
    <t>Boning room fat</t>
  </si>
  <si>
    <t>Boning room bone</t>
  </si>
  <si>
    <t xml:space="preserve">Protein total </t>
  </si>
  <si>
    <t>Ash total</t>
  </si>
  <si>
    <t>Ash</t>
  </si>
  <si>
    <t>Slaughter floor hard</t>
  </si>
  <si>
    <t>Fat total</t>
  </si>
  <si>
    <t>Enter Carcase Weights and Kill number</t>
  </si>
  <si>
    <t>No. Head</t>
  </si>
  <si>
    <t>Enter proportion of material sent for rendering</t>
  </si>
  <si>
    <t>Offal type</t>
  </si>
  <si>
    <t>% rendered</t>
  </si>
  <si>
    <t>Estimated Production</t>
  </si>
  <si>
    <t>% Protein in meal</t>
  </si>
  <si>
    <t>% Ash</t>
  </si>
  <si>
    <t>% Protein in remaining meal</t>
  </si>
  <si>
    <t>Assumed fat content (%)</t>
  </si>
  <si>
    <t>Avg Carcase wt (kg)</t>
  </si>
  <si>
    <t>ESTIMATED PRODUCTION OF MEAT MEAL AND PROTEIN CONTENT OF MEAL FROM DIFFERENT RAW MATERIALS</t>
  </si>
  <si>
    <t>Press Ctrl + p to print report</t>
  </si>
  <si>
    <t>Meal yield (kg)</t>
  </si>
  <si>
    <t>Total Tallow (kg)</t>
  </si>
  <si>
    <t>Production from selected raw materials</t>
  </si>
  <si>
    <t>Selected raw materials</t>
  </si>
  <si>
    <t>All slaughter floor soft offal (excludes heads and feet)</t>
  </si>
  <si>
    <t>All available soft offal (includes boning room fat)</t>
  </si>
  <si>
    <t>All slaughter floor offal (includes heads and feet)</t>
  </si>
  <si>
    <t>All slaughter floor offal plus boning room fats</t>
  </si>
  <si>
    <t>All available material</t>
  </si>
  <si>
    <t>Production from remaining material</t>
  </si>
  <si>
    <t>Tallow (kg)</t>
  </si>
  <si>
    <t>Meal (kg)</t>
  </si>
  <si>
    <t>Total amount of raw material (tonnes)</t>
  </si>
  <si>
    <t>Total raw material (kg)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</si>
</sst>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0"/>
    <numFmt numFmtId="174" formatCode="#,##0.0"/>
  </numFmts>
  <fonts count="7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Alignment="1">
      <alignment horizontal="center" vertical="top" wrapText="1"/>
    </xf>
    <xf numFmtId="1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" fontId="2" fillId="3" borderId="9" xfId="0" applyNumberFormat="1" applyFont="1" applyFill="1" applyBorder="1" applyAlignment="1">
      <alignment horizontal="center" vertical="top" wrapText="1"/>
    </xf>
    <xf numFmtId="2" fontId="2" fillId="3" borderId="9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2" fontId="2" fillId="3" borderId="11" xfId="0" applyNumberFormat="1" applyFont="1" applyFill="1" applyBorder="1" applyAlignment="1">
      <alignment wrapText="1"/>
    </xf>
    <xf numFmtId="2" fontId="2" fillId="3" borderId="10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2" fontId="2" fillId="3" borderId="0" xfId="0" applyNumberFormat="1" applyFont="1" applyFill="1" applyBorder="1" applyAlignment="1">
      <alignment horizontal="right"/>
    </xf>
    <xf numFmtId="1" fontId="0" fillId="2" borderId="12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wrapText="1"/>
    </xf>
    <xf numFmtId="2" fontId="0" fillId="3" borderId="15" xfId="0" applyNumberFormat="1" applyFill="1" applyBorder="1" applyAlignment="1">
      <alignment horizontal="right" vertical="top" wrapText="1"/>
    </xf>
    <xf numFmtId="2" fontId="0" fillId="3" borderId="5" xfId="0" applyNumberFormat="1" applyFill="1" applyBorder="1" applyAlignment="1">
      <alignment horizontal="right" vertical="top" wrapText="1"/>
    </xf>
    <xf numFmtId="2" fontId="0" fillId="3" borderId="16" xfId="0" applyNumberFormat="1" applyFill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174" fontId="1" fillId="4" borderId="17" xfId="0" applyNumberFormat="1" applyFont="1" applyFill="1" applyBorder="1" applyAlignment="1">
      <alignment horizontal="center" vertical="center"/>
    </xf>
    <xf numFmtId="174" fontId="1" fillId="4" borderId="18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1" fontId="2" fillId="3" borderId="16" xfId="0" applyNumberFormat="1" applyFont="1" applyFill="1" applyBorder="1" applyAlignment="1">
      <alignment horizontal="center" vertical="top" wrapText="1"/>
    </xf>
    <xf numFmtId="3" fontId="1" fillId="4" borderId="20" xfId="0" applyNumberFormat="1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top" wrapText="1"/>
    </xf>
    <xf numFmtId="3" fontId="1" fillId="4" borderId="23" xfId="0" applyNumberFormat="1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/>
    </xf>
    <xf numFmtId="2" fontId="4" fillId="3" borderId="25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2" fontId="6" fillId="5" borderId="26" xfId="0" applyNumberFormat="1" applyFont="1" applyFill="1" applyBorder="1" applyAlignment="1">
      <alignment horizontal="right" vertical="center" wrapText="1"/>
    </xf>
    <xf numFmtId="172" fontId="6" fillId="5" borderId="27" xfId="0" applyNumberFormat="1" applyFont="1" applyFill="1" applyBorder="1" applyAlignment="1">
      <alignment horizontal="center" vertical="center" wrapText="1"/>
    </xf>
    <xf numFmtId="2" fontId="1" fillId="6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1" fontId="2" fillId="3" borderId="3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2" fontId="2" fillId="0" borderId="20" xfId="0" applyNumberFormat="1" applyFont="1" applyBorder="1" applyAlignment="1">
      <alignment horizontal="right" vertical="top" wrapText="1"/>
    </xf>
    <xf numFmtId="2" fontId="2" fillId="0" borderId="32" xfId="0" applyNumberFormat="1" applyFont="1" applyBorder="1" applyAlignment="1">
      <alignment horizontal="right" vertical="top" wrapText="1"/>
    </xf>
    <xf numFmtId="2" fontId="2" fillId="0" borderId="23" xfId="0" applyNumberFormat="1" applyFont="1" applyBorder="1" applyAlignment="1">
      <alignment horizontal="right" vertical="top" wrapText="1"/>
    </xf>
    <xf numFmtId="2" fontId="3" fillId="3" borderId="5" xfId="0" applyNumberFormat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top" wrapText="1"/>
    </xf>
    <xf numFmtId="0" fontId="3" fillId="3" borderId="33" xfId="0" applyFont="1" applyFill="1" applyBorder="1" applyAlignment="1">
      <alignment horizontal="right" vertical="top" wrapText="1"/>
    </xf>
    <xf numFmtId="2" fontId="3" fillId="3" borderId="16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2" fontId="1" fillId="6" borderId="35" xfId="0" applyNumberFormat="1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5"/>
  <sheetViews>
    <sheetView tabSelected="1" workbookViewId="0" topLeftCell="B1">
      <selection activeCell="AD74" sqref="AD74"/>
    </sheetView>
  </sheetViews>
  <sheetFormatPr defaultColWidth="9.140625" defaultRowHeight="12.75"/>
  <cols>
    <col min="1" max="1" width="2.57421875" style="1" hidden="1" customWidth="1"/>
    <col min="2" max="2" width="30.28125" style="29" customWidth="1"/>
    <col min="3" max="3" width="11.7109375" style="1" customWidth="1"/>
    <col min="4" max="4" width="11.421875" style="1" customWidth="1"/>
    <col min="5" max="5" width="9.140625" style="1" customWidth="1"/>
    <col min="6" max="6" width="11.7109375" style="1" customWidth="1"/>
    <col min="7" max="7" width="13.7109375" style="1" customWidth="1"/>
    <col min="8" max="9" width="12.8515625" style="1" customWidth="1"/>
    <col min="10" max="10" width="14.57421875" style="2" customWidth="1"/>
    <col min="11" max="11" width="12.8515625" style="2" customWidth="1"/>
    <col min="12" max="16384" width="9.140625" style="1" customWidth="1"/>
  </cols>
  <sheetData>
    <row r="1" spans="2:9" ht="19.5" customHeight="1">
      <c r="B1" s="59" t="s">
        <v>63</v>
      </c>
      <c r="C1" s="60"/>
      <c r="D1" s="60"/>
      <c r="E1" s="60"/>
      <c r="F1" s="60"/>
      <c r="G1" s="60"/>
      <c r="H1" s="60"/>
      <c r="I1" s="61"/>
    </row>
    <row r="2" spans="2:9" ht="18" customHeight="1" thickBot="1">
      <c r="B2" s="62" t="s">
        <v>52</v>
      </c>
      <c r="C2" s="63"/>
      <c r="D2" s="64"/>
      <c r="E2" s="3"/>
      <c r="F2" s="65" t="s">
        <v>54</v>
      </c>
      <c r="G2" s="66"/>
      <c r="H2" s="66"/>
      <c r="I2" s="67"/>
    </row>
    <row r="3" spans="2:10" ht="28.5" customHeight="1" thickBot="1">
      <c r="B3" s="26"/>
      <c r="C3" s="18" t="s">
        <v>62</v>
      </c>
      <c r="D3" s="19" t="s">
        <v>53</v>
      </c>
      <c r="F3" s="20" t="s">
        <v>55</v>
      </c>
      <c r="G3" s="22" t="s">
        <v>56</v>
      </c>
      <c r="H3" s="21" t="s">
        <v>55</v>
      </c>
      <c r="I3" s="22" t="s">
        <v>56</v>
      </c>
      <c r="J3" s="25" t="s">
        <v>64</v>
      </c>
    </row>
    <row r="4" spans="2:9" ht="13.5" customHeight="1">
      <c r="B4" s="27" t="s">
        <v>39</v>
      </c>
      <c r="C4" s="7">
        <v>100</v>
      </c>
      <c r="D4" s="5"/>
      <c r="E4" s="2"/>
      <c r="F4" s="10" t="s">
        <v>2</v>
      </c>
      <c r="G4" s="11">
        <v>10</v>
      </c>
      <c r="H4" s="9" t="s">
        <v>12</v>
      </c>
      <c r="I4" s="11">
        <v>100</v>
      </c>
    </row>
    <row r="5" spans="2:9" ht="13.5" customHeight="1">
      <c r="B5" s="27" t="s">
        <v>40</v>
      </c>
      <c r="C5" s="7">
        <v>180</v>
      </c>
      <c r="D5" s="5"/>
      <c r="E5" s="2"/>
      <c r="F5" s="10" t="s">
        <v>33</v>
      </c>
      <c r="G5" s="12">
        <v>0</v>
      </c>
      <c r="H5" s="9" t="s">
        <v>13</v>
      </c>
      <c r="I5" s="12">
        <v>40</v>
      </c>
    </row>
    <row r="6" spans="2:9" ht="13.5" customHeight="1">
      <c r="B6" s="27" t="s">
        <v>35</v>
      </c>
      <c r="C6" s="7">
        <v>275</v>
      </c>
      <c r="D6" s="5">
        <v>100</v>
      </c>
      <c r="E6" s="2"/>
      <c r="F6" s="10" t="s">
        <v>3</v>
      </c>
      <c r="G6" s="12">
        <v>100</v>
      </c>
      <c r="H6" s="9" t="s">
        <v>14</v>
      </c>
      <c r="I6" s="12">
        <v>100</v>
      </c>
    </row>
    <row r="7" spans="2:9" ht="13.5" customHeight="1">
      <c r="B7" s="27" t="s">
        <v>36</v>
      </c>
      <c r="C7" s="7">
        <v>380</v>
      </c>
      <c r="D7" s="5"/>
      <c r="E7" s="2"/>
      <c r="F7" s="10" t="s">
        <v>4</v>
      </c>
      <c r="G7" s="12">
        <v>20</v>
      </c>
      <c r="H7" s="9" t="s">
        <v>15</v>
      </c>
      <c r="I7" s="12">
        <v>100</v>
      </c>
    </row>
    <row r="8" spans="2:9" ht="13.5" customHeight="1">
      <c r="B8" s="27" t="s">
        <v>37</v>
      </c>
      <c r="C8" s="7">
        <v>200</v>
      </c>
      <c r="D8" s="5"/>
      <c r="E8" s="2"/>
      <c r="F8" s="10" t="s">
        <v>28</v>
      </c>
      <c r="G8" s="12">
        <v>30</v>
      </c>
      <c r="H8" s="9" t="s">
        <v>16</v>
      </c>
      <c r="I8" s="24">
        <v>100</v>
      </c>
    </row>
    <row r="9" spans="2:9" ht="13.5" customHeight="1" thickBot="1">
      <c r="B9" s="28" t="s">
        <v>38</v>
      </c>
      <c r="C9" s="8">
        <v>300</v>
      </c>
      <c r="D9" s="6"/>
      <c r="E9" s="2"/>
      <c r="F9" s="10" t="s">
        <v>6</v>
      </c>
      <c r="G9" s="12">
        <v>40</v>
      </c>
      <c r="H9" s="9" t="s">
        <v>29</v>
      </c>
      <c r="I9" s="12">
        <v>100</v>
      </c>
    </row>
    <row r="10" spans="3:9" ht="13.5" customHeight="1">
      <c r="C10" s="2"/>
      <c r="D10" s="2"/>
      <c r="E10" s="2"/>
      <c r="F10" s="10" t="s">
        <v>7</v>
      </c>
      <c r="G10" s="12">
        <v>100</v>
      </c>
      <c r="H10" s="9" t="s">
        <v>5</v>
      </c>
      <c r="I10" s="23">
        <v>100</v>
      </c>
    </row>
    <row r="11" spans="3:9" ht="13.5" customHeight="1">
      <c r="C11" s="2"/>
      <c r="D11" s="37"/>
      <c r="E11" s="2"/>
      <c r="F11" s="10" t="s">
        <v>8</v>
      </c>
      <c r="G11" s="12">
        <v>100</v>
      </c>
      <c r="H11" s="9" t="s">
        <v>18</v>
      </c>
      <c r="I11" s="12">
        <v>10</v>
      </c>
    </row>
    <row r="12" spans="3:9" ht="13.5" customHeight="1" thickBot="1">
      <c r="C12" s="2"/>
      <c r="D12" s="2"/>
      <c r="E12" s="2"/>
      <c r="F12" s="10" t="s">
        <v>9</v>
      </c>
      <c r="G12" s="12">
        <v>20</v>
      </c>
      <c r="H12" s="9" t="s">
        <v>1</v>
      </c>
      <c r="I12" s="13">
        <v>100</v>
      </c>
    </row>
    <row r="13" spans="3:9" ht="13.5" customHeight="1">
      <c r="C13" s="2"/>
      <c r="D13" s="2"/>
      <c r="E13" s="2"/>
      <c r="F13" s="10" t="s">
        <v>10</v>
      </c>
      <c r="G13" s="12">
        <v>10</v>
      </c>
      <c r="H13" s="9" t="s">
        <v>20</v>
      </c>
      <c r="I13" s="23">
        <v>100</v>
      </c>
    </row>
    <row r="14" spans="3:9" ht="13.5" customHeight="1" thickBot="1">
      <c r="C14" s="2"/>
      <c r="D14" s="17"/>
      <c r="E14" s="2"/>
      <c r="F14" s="10" t="s">
        <v>11</v>
      </c>
      <c r="G14" s="24">
        <v>10</v>
      </c>
      <c r="H14" s="9" t="s">
        <v>19</v>
      </c>
      <c r="I14" s="24">
        <v>100</v>
      </c>
    </row>
    <row r="15" spans="2:11" ht="21" customHeight="1" thickBot="1" thickTop="1">
      <c r="B15" s="68" t="s">
        <v>57</v>
      </c>
      <c r="C15" s="69"/>
      <c r="D15" s="69"/>
      <c r="E15" s="69"/>
      <c r="F15" s="69"/>
      <c r="G15" s="69"/>
      <c r="H15" s="69"/>
      <c r="I15" s="69"/>
      <c r="J15" s="70"/>
      <c r="K15" s="71"/>
    </row>
    <row r="16" spans="2:11" ht="40.5" customHeight="1" thickBot="1">
      <c r="B16" s="53" t="s">
        <v>67</v>
      </c>
      <c r="C16" s="54"/>
      <c r="D16" s="54"/>
      <c r="E16" s="54"/>
      <c r="F16" s="54"/>
      <c r="G16" s="55"/>
      <c r="H16" s="56" t="s">
        <v>74</v>
      </c>
      <c r="I16" s="54"/>
      <c r="J16" s="54"/>
      <c r="K16" s="57" t="s">
        <v>66</v>
      </c>
    </row>
    <row r="17" spans="2:11" s="4" customFormat="1" ht="39" customHeight="1">
      <c r="B17" s="46" t="s">
        <v>68</v>
      </c>
      <c r="C17" s="14" t="s">
        <v>65</v>
      </c>
      <c r="D17" s="14" t="s">
        <v>58</v>
      </c>
      <c r="E17" s="14" t="s">
        <v>59</v>
      </c>
      <c r="F17" s="15" t="s">
        <v>61</v>
      </c>
      <c r="G17" s="16" t="s">
        <v>75</v>
      </c>
      <c r="H17" s="43" t="s">
        <v>76</v>
      </c>
      <c r="I17" s="36" t="s">
        <v>60</v>
      </c>
      <c r="J17" s="38" t="s">
        <v>75</v>
      </c>
      <c r="K17" s="58"/>
    </row>
    <row r="18" spans="2:11" ht="51" customHeight="1">
      <c r="B18" s="41" t="s">
        <v>69</v>
      </c>
      <c r="C18" s="32">
        <f>(D4*C78+D5*M78+D6*W78+D7*AG78+D8*AQ78+D9*BA78)/0.78</f>
        <v>914.0335256410258</v>
      </c>
      <c r="D18" s="30">
        <f>(D4*D78+D5*N78+D6*X78+D7*AH78+D8*AR78+D9*BB78)/C18*100</f>
        <v>72.41356377336494</v>
      </c>
      <c r="E18" s="30">
        <f>(D4*E78+D5*O78+D6*Y78+D7*AI78+D8*AS78+D9*BC78)/C18*100</f>
        <v>5.586436226635068</v>
      </c>
      <c r="F18" s="30">
        <v>15</v>
      </c>
      <c r="G18" s="34">
        <f>(D4*F78+D5*P78+D6*Z78+D7*AJ78+D8*AT78+D9*BD78)-(C18*0.15)</f>
        <v>2376.344471153846</v>
      </c>
      <c r="H18" s="44">
        <f>($D$4*($C$82+$C$80+$C$81)+$D$5*($M$80+$M$81+$M$82)+$D$6*($W$80+$W$81+$W$82)+$D$7*($AG$80+$AG$81+$AG$82)+$D$8*($AQ$80+$AQ$81+$AQ$82)+$D$9*($BA$80+$BA$81+$BA$82))/0.84</f>
        <v>4087.180952380952</v>
      </c>
      <c r="I18" s="30">
        <f>($D$4*($D$82+$D$80+$D$81)+$D$5*($N$80+$N$81+$N$82)+$D$6*($X$80+$X$81+$X$82)+$D$7*($AH$80+$AH$81+$AH$82)+$D$8*($AR$80+$AR$81+$AR$82)+$D$9*($BB$80+$BB$81+$BB$82))/$H$18*100</f>
        <v>45.2662732958332</v>
      </c>
      <c r="J18" s="39">
        <f>(D4*(F80+F81+F82)+D5*(P80+P81+P82)+D6*(Z80+Z81+Z82)+D7*(AJ80+AJ81+AJ82)+D8*(AT80+AT81+AT82)+D9*(BD80+BD81+BD82))-H18*0.1</f>
        <v>3165.5694047619045</v>
      </c>
      <c r="K18" s="47">
        <f>G18+J18</f>
        <v>5541.91387591575</v>
      </c>
    </row>
    <row r="19" spans="2:11" ht="48" customHeight="1">
      <c r="B19" s="41" t="s">
        <v>70</v>
      </c>
      <c r="C19" s="32">
        <f>(D4*C81+D5*M81+D6*W81+D7*AG81+D8*AQ81+D9*BA81)/0.78+C18</f>
        <v>1273.6489102564103</v>
      </c>
      <c r="D19" s="30">
        <f>((D4*D81+D5*N81+D6*D81+D7*AH81+D8*AR81+D9*BB81)+(D18*C18/100))/C19*100</f>
        <v>59.033870633048416</v>
      </c>
      <c r="E19" s="30">
        <f>((D4*E81+D5*O81+D6*E81+D7*AI81+D8*AS81+D9*BC81)+(E18*C18/100))/C19*100</f>
        <v>4.401676125072305</v>
      </c>
      <c r="F19" s="30">
        <v>15</v>
      </c>
      <c r="G19" s="34">
        <f>(D4*(F78+F81)+D5*(P78+P81)+D6*(Z78+Z81)+D7*(AJ78+AJ81)+D8*(AT78+AT81)+D9*(BD78+BD81))-(C19*0.15)</f>
        <v>4533.402163461538</v>
      </c>
      <c r="H19" s="44">
        <f>($D$4*($C$80+$C$82)+$D$5*($M$80+$M$82)+$D$6*($W$80+$W$82)+$D$7*($AG$80+$AG$82)+$D$8*($AQ$80+$AQ$82)+$D$9*($BA$80+$BA$82))/0.86</f>
        <v>3665.967441860465</v>
      </c>
      <c r="I19" s="30">
        <f>($D$4*($D$80+$D$82)+$D$5*($N$80+$N$82)+$D$6*($X$80+$X$82)+$D$7*($AH$80+$AH$82)+$D$8*($AR$80+$AR$82)+$D$9*($BB$80+$BB$82))/$H$19*100</f>
        <v>43.26591889193246</v>
      </c>
      <c r="J19" s="39">
        <f>(D4*(F80+F82)+D5*(P80+P82)+D6*(Z80+Z82)+D7*(AJ80+AJ82)+D8*(AT80+AT82)+D9*(BD80+BD82))-(H19*0.1)</f>
        <v>996.6907558139534</v>
      </c>
      <c r="K19" s="47">
        <f>G19+J19</f>
        <v>5530.092919275492</v>
      </c>
    </row>
    <row r="20" spans="2:11" ht="61.5" customHeight="1">
      <c r="B20" s="41" t="s">
        <v>71</v>
      </c>
      <c r="C20" s="32">
        <f>(D4*C79+D5*M79+D6*W79+D7*AG79+D8*AQ79+D9*BA79)/0.8</f>
        <v>1958.3476875</v>
      </c>
      <c r="D20" s="30">
        <f>(D4*D79+D5*N79+D6*X79+D7*AH79+D8*AR79+D9*BB79)/C20*100</f>
        <v>56.09314204069291</v>
      </c>
      <c r="E20" s="30">
        <f>(D4*E79+D5*O79+D6*Y79+D7*AI79+D8*AS79+D9*BC79)/C20*100</f>
        <v>23.906857959307086</v>
      </c>
      <c r="F20" s="30">
        <v>13</v>
      </c>
      <c r="G20" s="34">
        <f>(D4*F79+D5*P79+D6*Z79+D7*AJ79+D8*AT79+D9*BD79)-(C20*0.13)</f>
        <v>2472.651800625</v>
      </c>
      <c r="H20" s="44">
        <f>($D$4*($C$80+$C$81)+$D$5*($M$80+$M$81)+$D$6*($W$80+$W$81)+$D$7*($AG$80+$AG$81)+$D$8*($AQ$80+$AQ$81)+$D$9*($BA$80+$BA$81))/0.85</f>
        <v>3034.7058823529414</v>
      </c>
      <c r="I20" s="30">
        <f>($D$4*($D$80+$D$81)+$D$5*($N$80+$N$81)+$D$6*($X$80+$X$81)+$D$7*($AH$80+$AH$81)+$D$8*($AR$80+$AR$81)+$D$9*($BB$80+$BB$81))/$H$20*100</f>
        <v>46.57782515991471</v>
      </c>
      <c r="J20" s="39">
        <f>(D4*(F80+F81)+D5*(P80+P81)+D6*(Z80+Z81)+D7*(AJ80+AJ81)+D8*(AT80+AT81)+D9*(BD80+BD81))-(H20*0.1)</f>
        <v>3057.0294117647054</v>
      </c>
      <c r="K20" s="47">
        <f>G20+J20</f>
        <v>5529.681212389705</v>
      </c>
    </row>
    <row r="21" spans="2:11" ht="36" customHeight="1">
      <c r="B21" s="41" t="s">
        <v>72</v>
      </c>
      <c r="C21" s="32">
        <f>(D4*C81+D5*M81+D6*W81+D7*AG81+D8*AQ81+D9*BA81)/0.79+C20</f>
        <v>2313.4109786392405</v>
      </c>
      <c r="D21" s="30">
        <f>((D4*D81+D5*N81+D6*X81+D7*AH81+D8*AR81+D9*BB81)+(D20*C20/100))/C21*100</f>
        <v>58.89566370094034</v>
      </c>
      <c r="E21" s="30">
        <f>((D4*E81+D5*O81+D6*E81+D7*AI81+D8*AS81+D9*BC81)+(E20*C20/100))/C21*100</f>
        <v>20.45375440719687</v>
      </c>
      <c r="F21" s="30">
        <v>14</v>
      </c>
      <c r="G21" s="34">
        <f>(D4*(F79+F81)+D5*(P79+P81)+D6*(Z79+Z81)+D7*(AJ79+AJ81)+D8*(AT79+AT81)+D9*(BD79+BD81))-(C21*0.14)</f>
        <v>4614.359462990506</v>
      </c>
      <c r="H21" s="44">
        <f>($D$4*($C$80)+$D$5*($M$80)+$D$6*($W$80)+$D$7*($AG$80)+$D$8*($AQ$80)+$D$9*($BA$80))/0.86</f>
        <v>2673.2558139534885</v>
      </c>
      <c r="I21" s="30">
        <f>($D$4*($D$80)+$D$5*($N$80)+$D$6*($X$80)+$D$7*($AH$80)+$D$8*($AR$80)+$D$9*($BB$80))/$H$21*100</f>
        <v>43</v>
      </c>
      <c r="J21" s="39">
        <f>(D4*F80+D5*P80+D6*Z80+D7*AJ80+D8*AT80+D9*BD80)-(H21*0.1)</f>
        <v>882.1744186046511</v>
      </c>
      <c r="K21" s="47">
        <f>G21+J21</f>
        <v>5496.533881595156</v>
      </c>
    </row>
    <row r="22" spans="2:11" ht="39" customHeight="1" thickBot="1">
      <c r="B22" s="42" t="s">
        <v>73</v>
      </c>
      <c r="C22" s="33">
        <f>(D4*C80+D5*M80+D6*W80+D7*AG80+D8*AQ80+D9*BA80)/0.84+C21</f>
        <v>5050.315740544002</v>
      </c>
      <c r="D22" s="31">
        <f>((D4*D80+D5*N80+D6*X80+D7*AH80+D8*AR80+D9*BB80)+(D21*C21/100))/C22*100</f>
        <v>49.73943965193384</v>
      </c>
      <c r="E22" s="31">
        <f>((D4*E80+D5*O80+D6*Y80+D7*AI80+D8*AS80+D9*BC80)+(E21*C21/100))/C22*100</f>
        <v>32.13025647036497</v>
      </c>
      <c r="F22" s="31">
        <v>10</v>
      </c>
      <c r="G22" s="35"/>
      <c r="H22" s="45"/>
      <c r="I22" s="31"/>
      <c r="J22" s="40"/>
      <c r="K22" s="48">
        <f>(D4*(F79+F80+F81)+D5*(P79+P80+P81)+D6*(Z79+Z80+Z81)+D7*(AJ79+AJ80+AJ81)+D8*(AT79+AT80+AT81)+D9*(BD79+BD80+BD81))-(C22*0.1)</f>
        <v>5582.7054259456</v>
      </c>
    </row>
    <row r="23" spans="3:9" ht="5.25" customHeight="1" thickBot="1">
      <c r="C23" s="2"/>
      <c r="D23" s="2"/>
      <c r="E23" s="2"/>
      <c r="F23" s="2"/>
      <c r="G23" s="2"/>
      <c r="H23" s="2"/>
      <c r="I23" s="2"/>
    </row>
    <row r="24" spans="2:11" s="49" customFormat="1" ht="33.75" customHeight="1" thickBot="1" thickTop="1">
      <c r="B24" s="51" t="s">
        <v>77</v>
      </c>
      <c r="C24" s="52">
        <f>(D4*D85+D5*N85+D6*X85+D7*AH85+D8*AR85+D9*BB85)/1000</f>
        <v>17.2757</v>
      </c>
      <c r="D24" s="50"/>
      <c r="E24" s="50"/>
      <c r="F24" s="50"/>
      <c r="G24" s="50"/>
      <c r="H24" s="50"/>
      <c r="I24" s="50"/>
      <c r="J24" s="50"/>
      <c r="K24" s="50"/>
    </row>
    <row r="25" ht="13.5" customHeight="1" thickTop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0" spans="1:51" ht="12.75">
      <c r="A50" s="1" t="s">
        <v>0</v>
      </c>
      <c r="K50" s="2" t="s">
        <v>27</v>
      </c>
      <c r="U50" s="1" t="s">
        <v>30</v>
      </c>
      <c r="AE50" s="1" t="s">
        <v>31</v>
      </c>
      <c r="AO50" s="1" t="s">
        <v>32</v>
      </c>
      <c r="AY50" s="1" t="s">
        <v>34</v>
      </c>
    </row>
    <row r="51" spans="2:60" ht="12.75">
      <c r="B51" s="29" t="s">
        <v>26</v>
      </c>
      <c r="C51" s="1" t="s">
        <v>21</v>
      </c>
      <c r="D51" s="1" t="s">
        <v>22</v>
      </c>
      <c r="E51" s="1" t="s">
        <v>23</v>
      </c>
      <c r="F51" s="1" t="s">
        <v>24</v>
      </c>
      <c r="G51" s="1" t="s">
        <v>25</v>
      </c>
      <c r="H51" s="1" t="s">
        <v>47</v>
      </c>
      <c r="I51" s="1" t="s">
        <v>48</v>
      </c>
      <c r="J51" s="2" t="s">
        <v>51</v>
      </c>
      <c r="L51" s="1" t="s">
        <v>26</v>
      </c>
      <c r="M51" s="1" t="s">
        <v>21</v>
      </c>
      <c r="N51" s="1" t="s">
        <v>22</v>
      </c>
      <c r="O51" s="1" t="s">
        <v>23</v>
      </c>
      <c r="P51" s="1" t="s">
        <v>24</v>
      </c>
      <c r="Q51" s="1" t="s">
        <v>25</v>
      </c>
      <c r="R51" s="1" t="s">
        <v>47</v>
      </c>
      <c r="S51" s="1" t="s">
        <v>48</v>
      </c>
      <c r="T51" s="1" t="s">
        <v>51</v>
      </c>
      <c r="V51" s="1" t="s">
        <v>26</v>
      </c>
      <c r="W51" s="1" t="s">
        <v>21</v>
      </c>
      <c r="X51" s="1" t="s">
        <v>22</v>
      </c>
      <c r="Y51" s="1" t="s">
        <v>23</v>
      </c>
      <c r="Z51" s="1" t="s">
        <v>24</v>
      </c>
      <c r="AA51" s="1" t="s">
        <v>25</v>
      </c>
      <c r="AB51" s="1" t="s">
        <v>47</v>
      </c>
      <c r="AC51" s="1" t="s">
        <v>48</v>
      </c>
      <c r="AD51" s="1" t="s">
        <v>51</v>
      </c>
      <c r="AF51" s="1" t="s">
        <v>26</v>
      </c>
      <c r="AG51" s="1" t="s">
        <v>21</v>
      </c>
      <c r="AH51" s="1" t="s">
        <v>22</v>
      </c>
      <c r="AI51" s="1" t="s">
        <v>23</v>
      </c>
      <c r="AJ51" s="1" t="s">
        <v>24</v>
      </c>
      <c r="AK51" s="1" t="s">
        <v>25</v>
      </c>
      <c r="AL51" s="1" t="s">
        <v>47</v>
      </c>
      <c r="AM51" s="1" t="s">
        <v>48</v>
      </c>
      <c r="AN51" s="1" t="s">
        <v>51</v>
      </c>
      <c r="AP51" s="1" t="s">
        <v>26</v>
      </c>
      <c r="AQ51" s="1" t="s">
        <v>21</v>
      </c>
      <c r="AR51" s="1" t="s">
        <v>22</v>
      </c>
      <c r="AS51" s="1" t="s">
        <v>23</v>
      </c>
      <c r="AT51" s="1" t="s">
        <v>24</v>
      </c>
      <c r="AU51" s="1" t="s">
        <v>25</v>
      </c>
      <c r="AV51" s="1" t="s">
        <v>47</v>
      </c>
      <c r="AW51" s="1" t="s">
        <v>48</v>
      </c>
      <c r="AX51" s="1" t="s">
        <v>51</v>
      </c>
      <c r="AZ51" s="1" t="s">
        <v>26</v>
      </c>
      <c r="BA51" s="1" t="s">
        <v>21</v>
      </c>
      <c r="BB51" s="1" t="s">
        <v>22</v>
      </c>
      <c r="BC51" s="1" t="s">
        <v>23</v>
      </c>
      <c r="BD51" s="1" t="s">
        <v>24</v>
      </c>
      <c r="BE51" s="1" t="s">
        <v>25</v>
      </c>
      <c r="BF51" s="1" t="s">
        <v>47</v>
      </c>
      <c r="BG51" s="1" t="s">
        <v>48</v>
      </c>
      <c r="BH51" s="1" t="s">
        <v>51</v>
      </c>
    </row>
    <row r="52" spans="1:60" ht="12.75">
      <c r="A52" s="1" t="s">
        <v>2</v>
      </c>
      <c r="B52" s="29">
        <v>1.7</v>
      </c>
      <c r="C52" s="1">
        <f>$G$4</f>
        <v>10</v>
      </c>
      <c r="D52" s="1">
        <f>B52*C52/100</f>
        <v>0.17</v>
      </c>
      <c r="E52" s="1">
        <v>16.5</v>
      </c>
      <c r="F52" s="1">
        <v>1.5</v>
      </c>
      <c r="G52" s="1">
        <v>12</v>
      </c>
      <c r="H52" s="1">
        <f>D52*E52/100</f>
        <v>0.028050000000000002</v>
      </c>
      <c r="I52" s="1">
        <f>D52*F52/100</f>
        <v>0.00255</v>
      </c>
      <c r="J52" s="2">
        <f>G52*D52/100</f>
        <v>0.0204</v>
      </c>
      <c r="K52" s="2" t="s">
        <v>2</v>
      </c>
      <c r="L52" s="1">
        <f>0.56+0.0093*C5</f>
        <v>2.234</v>
      </c>
      <c r="M52" s="1">
        <f>$G$4</f>
        <v>10</v>
      </c>
      <c r="N52" s="1">
        <f aca="true" t="shared" si="0" ref="N52:N68">L52*M52/100</f>
        <v>0.2234</v>
      </c>
      <c r="O52" s="1">
        <v>16</v>
      </c>
      <c r="P52" s="1">
        <v>1.5</v>
      </c>
      <c r="Q52" s="1">
        <v>14</v>
      </c>
      <c r="R52" s="1">
        <f>N52*O52/100</f>
        <v>0.035744</v>
      </c>
      <c r="S52" s="1">
        <f>N52*P52/100</f>
        <v>0.0033509999999999994</v>
      </c>
      <c r="T52" s="1">
        <f>Q52*N52/100</f>
        <v>0.031276</v>
      </c>
      <c r="U52" s="1" t="s">
        <v>2</v>
      </c>
      <c r="V52" s="1">
        <v>3.4</v>
      </c>
      <c r="W52" s="1">
        <f>$G$4</f>
        <v>10</v>
      </c>
      <c r="X52" s="1">
        <f aca="true" t="shared" si="1" ref="X52:X68">V52*W52/100</f>
        <v>0.34</v>
      </c>
      <c r="Y52" s="1">
        <v>16</v>
      </c>
      <c r="Z52" s="1">
        <v>1.5</v>
      </c>
      <c r="AA52" s="1">
        <v>14</v>
      </c>
      <c r="AB52" s="1">
        <f>X52*Y52/100</f>
        <v>0.054400000000000004</v>
      </c>
      <c r="AC52" s="1">
        <f>X52*Z52/100</f>
        <v>0.0051</v>
      </c>
      <c r="AD52" s="1">
        <f>AA52*X52/100</f>
        <v>0.0476</v>
      </c>
      <c r="AE52" s="1" t="s">
        <v>2</v>
      </c>
      <c r="AF52" s="1">
        <f>1.164+0.0056*C7</f>
        <v>3.292</v>
      </c>
      <c r="AG52" s="1">
        <f>$G$4</f>
        <v>10</v>
      </c>
      <c r="AH52" s="1">
        <f aca="true" t="shared" si="2" ref="AH52:AH68">AF52*AG52/100</f>
        <v>0.3292</v>
      </c>
      <c r="AI52" s="1">
        <v>16</v>
      </c>
      <c r="AJ52" s="1">
        <v>1.5</v>
      </c>
      <c r="AK52" s="1">
        <v>14</v>
      </c>
      <c r="AL52" s="1">
        <f>AH52*AI52/100</f>
        <v>0.052672</v>
      </c>
      <c r="AM52" s="1">
        <f>AH52*AJ52/100</f>
        <v>0.0049380000000000005</v>
      </c>
      <c r="AN52" s="1">
        <f>AK52*AH52/100</f>
        <v>0.046088</v>
      </c>
      <c r="AO52" s="1" t="s">
        <v>2</v>
      </c>
      <c r="AP52" s="1">
        <v>3.1</v>
      </c>
      <c r="AQ52" s="1">
        <f>$G$4</f>
        <v>10</v>
      </c>
      <c r="AR52" s="1">
        <f aca="true" t="shared" si="3" ref="AR52:AR68">AP52*AQ52/100</f>
        <v>0.31</v>
      </c>
      <c r="AS52" s="1">
        <v>16</v>
      </c>
      <c r="AT52" s="1">
        <v>1.5</v>
      </c>
      <c r="AU52" s="1">
        <v>14</v>
      </c>
      <c r="AV52" s="1">
        <f>AR52*AS52/100</f>
        <v>0.0496</v>
      </c>
      <c r="AW52" s="1">
        <f>AR52*AT52/100</f>
        <v>0.00465</v>
      </c>
      <c r="AX52" s="1">
        <f>AU52*AR52/100</f>
        <v>0.0434</v>
      </c>
      <c r="AY52" s="1" t="s">
        <v>2</v>
      </c>
      <c r="AZ52" s="1">
        <v>3.3</v>
      </c>
      <c r="BA52" s="1">
        <f>$G$4</f>
        <v>10</v>
      </c>
      <c r="BB52" s="1">
        <f aca="true" t="shared" si="4" ref="BB52:BB68">AZ52*BA52/100</f>
        <v>0.33</v>
      </c>
      <c r="BC52" s="1">
        <v>16</v>
      </c>
      <c r="BD52" s="1">
        <v>1.5</v>
      </c>
      <c r="BE52" s="1">
        <v>14</v>
      </c>
      <c r="BF52" s="1">
        <f>BB52*BC52/100</f>
        <v>0.0528</v>
      </c>
      <c r="BG52" s="1">
        <f>BB52*BD52/100</f>
        <v>0.0049499999999999995</v>
      </c>
      <c r="BH52" s="1">
        <f>BE52*BB52/100</f>
        <v>0.0462</v>
      </c>
    </row>
    <row r="53" spans="1:60" ht="12.75">
      <c r="A53" s="1" t="s">
        <v>33</v>
      </c>
      <c r="B53" s="29">
        <v>0.7</v>
      </c>
      <c r="C53" s="1">
        <f>$G$5</f>
        <v>0</v>
      </c>
      <c r="D53" s="1">
        <f aca="true" t="shared" si="5" ref="D53:D68">B53*C53/100</f>
        <v>0</v>
      </c>
      <c r="E53" s="1">
        <v>18</v>
      </c>
      <c r="F53" s="1">
        <v>1</v>
      </c>
      <c r="G53" s="1">
        <v>10</v>
      </c>
      <c r="H53" s="1">
        <f aca="true" t="shared" si="6" ref="H53:H68">D53*E53/100</f>
        <v>0</v>
      </c>
      <c r="I53" s="1">
        <f aca="true" t="shared" si="7" ref="I53:I68">D53*F53/100</f>
        <v>0</v>
      </c>
      <c r="J53" s="2">
        <f aca="true" t="shared" si="8" ref="J53:J75">G53*D53/100</f>
        <v>0</v>
      </c>
      <c r="K53" s="2" t="s">
        <v>33</v>
      </c>
      <c r="L53" s="1">
        <v>0.8</v>
      </c>
      <c r="M53" s="1">
        <f>$G$5</f>
        <v>0</v>
      </c>
      <c r="N53" s="1">
        <f t="shared" si="0"/>
        <v>0</v>
      </c>
      <c r="O53" s="1">
        <v>17</v>
      </c>
      <c r="P53" s="1">
        <v>1</v>
      </c>
      <c r="Q53" s="1">
        <v>12</v>
      </c>
      <c r="R53" s="1">
        <f aca="true" t="shared" si="9" ref="R53:R68">N53*O53/100</f>
        <v>0</v>
      </c>
      <c r="S53" s="1">
        <f aca="true" t="shared" si="10" ref="S53:S68">N53*P53/100</f>
        <v>0</v>
      </c>
      <c r="T53" s="1">
        <f aca="true" t="shared" si="11" ref="T53:T75">Q53*N53/100</f>
        <v>0</v>
      </c>
      <c r="U53" s="1" t="s">
        <v>33</v>
      </c>
      <c r="V53" s="1">
        <f>0.314+0.0055*C6</f>
        <v>1.8265</v>
      </c>
      <c r="W53" s="1">
        <f>$G$5</f>
        <v>0</v>
      </c>
      <c r="X53" s="1">
        <f t="shared" si="1"/>
        <v>0</v>
      </c>
      <c r="Y53" s="1">
        <v>17</v>
      </c>
      <c r="Z53" s="1">
        <v>1</v>
      </c>
      <c r="AA53" s="1">
        <v>12</v>
      </c>
      <c r="AB53" s="1">
        <f aca="true" t="shared" si="12" ref="AB53:AB68">X53*Y53/100</f>
        <v>0</v>
      </c>
      <c r="AC53" s="1">
        <f aca="true" t="shared" si="13" ref="AC53:AC68">X53*Z53/100</f>
        <v>0</v>
      </c>
      <c r="AD53" s="1">
        <f aca="true" t="shared" si="14" ref="AD53:AD75">AA53*X53/100</f>
        <v>0</v>
      </c>
      <c r="AE53" s="1" t="s">
        <v>33</v>
      </c>
      <c r="AF53" s="1">
        <f>0.651+0.0023*C7</f>
        <v>1.525</v>
      </c>
      <c r="AG53" s="1">
        <f>$G$5</f>
        <v>0</v>
      </c>
      <c r="AH53" s="1">
        <f t="shared" si="2"/>
        <v>0</v>
      </c>
      <c r="AI53" s="1">
        <v>17</v>
      </c>
      <c r="AJ53" s="1">
        <v>1</v>
      </c>
      <c r="AK53" s="1">
        <v>12</v>
      </c>
      <c r="AL53" s="1">
        <f aca="true" t="shared" si="15" ref="AL53:AL68">AH53*AI53/100</f>
        <v>0</v>
      </c>
      <c r="AM53" s="1">
        <f aca="true" t="shared" si="16" ref="AM53:AM68">AH53*AJ53/100</f>
        <v>0</v>
      </c>
      <c r="AN53" s="1">
        <f aca="true" t="shared" si="17" ref="AN53:AN75">AK53*AH53/100</f>
        <v>0</v>
      </c>
      <c r="AO53" s="1" t="s">
        <v>33</v>
      </c>
      <c r="AP53" s="1">
        <f>1.15+0.0024*C8</f>
        <v>1.63</v>
      </c>
      <c r="AQ53" s="1">
        <f>$G$5</f>
        <v>0</v>
      </c>
      <c r="AR53" s="1">
        <f t="shared" si="3"/>
        <v>0</v>
      </c>
      <c r="AS53" s="1">
        <v>17</v>
      </c>
      <c r="AT53" s="1">
        <v>1</v>
      </c>
      <c r="AU53" s="1">
        <v>12</v>
      </c>
      <c r="AV53" s="1">
        <f aca="true" t="shared" si="18" ref="AV53:AV68">AR53*AS53/100</f>
        <v>0</v>
      </c>
      <c r="AW53" s="1">
        <f aca="true" t="shared" si="19" ref="AW53:AW68">AR53*AT53/100</f>
        <v>0</v>
      </c>
      <c r="AX53" s="1">
        <f aca="true" t="shared" si="20" ref="AX53:AX75">AU53*AR53/100</f>
        <v>0</v>
      </c>
      <c r="AY53" s="1" t="s">
        <v>33</v>
      </c>
      <c r="AZ53" s="1">
        <v>1.7</v>
      </c>
      <c r="BA53" s="1">
        <f>$G$5</f>
        <v>0</v>
      </c>
      <c r="BB53" s="1">
        <f t="shared" si="4"/>
        <v>0</v>
      </c>
      <c r="BC53" s="1">
        <v>17</v>
      </c>
      <c r="BD53" s="1">
        <v>1</v>
      </c>
      <c r="BE53" s="1">
        <v>12</v>
      </c>
      <c r="BF53" s="1">
        <f aca="true" t="shared" si="21" ref="BF53:BF68">BB53*BC53/100</f>
        <v>0</v>
      </c>
      <c r="BG53" s="1">
        <f aca="true" t="shared" si="22" ref="BG53:BG68">BB53*BD53/100</f>
        <v>0</v>
      </c>
      <c r="BH53" s="1">
        <f aca="true" t="shared" si="23" ref="BH53:BH75">BE53*BB53/100</f>
        <v>0</v>
      </c>
    </row>
    <row r="54" spans="1:60" ht="12.75">
      <c r="A54" s="1" t="s">
        <v>3</v>
      </c>
      <c r="B54" s="29">
        <v>0.98</v>
      </c>
      <c r="C54" s="1">
        <f>$G$6</f>
        <v>100</v>
      </c>
      <c r="D54" s="1">
        <f t="shared" si="5"/>
        <v>0.98</v>
      </c>
      <c r="E54" s="1">
        <v>15</v>
      </c>
      <c r="F54" s="1">
        <v>2.2</v>
      </c>
      <c r="G54" s="1">
        <v>16</v>
      </c>
      <c r="H54" s="1">
        <f t="shared" si="6"/>
        <v>0.147</v>
      </c>
      <c r="I54" s="1">
        <f t="shared" si="7"/>
        <v>0.021560000000000003</v>
      </c>
      <c r="J54" s="2">
        <f t="shared" si="8"/>
        <v>0.1568</v>
      </c>
      <c r="K54" s="2" t="s">
        <v>3</v>
      </c>
      <c r="L54" s="1">
        <v>1.3</v>
      </c>
      <c r="M54" s="1">
        <f>$G$6</f>
        <v>100</v>
      </c>
      <c r="N54" s="1">
        <f t="shared" si="0"/>
        <v>1.3</v>
      </c>
      <c r="O54" s="1">
        <v>14.5</v>
      </c>
      <c r="P54" s="1">
        <v>2.2</v>
      </c>
      <c r="Q54" s="1">
        <v>17</v>
      </c>
      <c r="R54" s="1">
        <f t="shared" si="9"/>
        <v>0.1885</v>
      </c>
      <c r="S54" s="1">
        <f t="shared" si="10"/>
        <v>0.028600000000000004</v>
      </c>
      <c r="T54" s="1">
        <f t="shared" si="11"/>
        <v>0.221</v>
      </c>
      <c r="U54" s="1" t="s">
        <v>3</v>
      </c>
      <c r="V54" s="1">
        <f>-1.12+0.0063*C6</f>
        <v>0.6124999999999998</v>
      </c>
      <c r="W54" s="1">
        <f>$G$6</f>
        <v>100</v>
      </c>
      <c r="X54" s="1">
        <f t="shared" si="1"/>
        <v>0.6124999999999998</v>
      </c>
      <c r="Y54" s="1">
        <v>14.5</v>
      </c>
      <c r="Z54" s="1">
        <v>2.2</v>
      </c>
      <c r="AA54" s="1">
        <v>17</v>
      </c>
      <c r="AB54" s="1">
        <f t="shared" si="12"/>
        <v>0.08881249999999997</v>
      </c>
      <c r="AC54" s="1">
        <f t="shared" si="13"/>
        <v>0.013474999999999997</v>
      </c>
      <c r="AD54" s="1">
        <f t="shared" si="14"/>
        <v>0.10412499999999998</v>
      </c>
      <c r="AE54" s="1" t="s">
        <v>3</v>
      </c>
      <c r="AF54" s="1">
        <f>0.723+0.0032*C7</f>
        <v>1.939</v>
      </c>
      <c r="AG54" s="1">
        <f>$G$6</f>
        <v>100</v>
      </c>
      <c r="AH54" s="1">
        <f t="shared" si="2"/>
        <v>1.939</v>
      </c>
      <c r="AI54" s="1">
        <v>14.5</v>
      </c>
      <c r="AJ54" s="1">
        <v>2.2</v>
      </c>
      <c r="AK54" s="1">
        <v>17</v>
      </c>
      <c r="AL54" s="1">
        <f t="shared" si="15"/>
        <v>0.281155</v>
      </c>
      <c r="AM54" s="1">
        <f t="shared" si="16"/>
        <v>0.042658</v>
      </c>
      <c r="AN54" s="1">
        <f t="shared" si="17"/>
        <v>0.32963000000000003</v>
      </c>
      <c r="AO54" s="1" t="s">
        <v>3</v>
      </c>
      <c r="AP54" s="1">
        <f>-0.4+0.0084*C8</f>
        <v>1.2799999999999998</v>
      </c>
      <c r="AQ54" s="1">
        <f>$G$6</f>
        <v>100</v>
      </c>
      <c r="AR54" s="1">
        <f t="shared" si="3"/>
        <v>1.2799999999999998</v>
      </c>
      <c r="AS54" s="1">
        <v>14.5</v>
      </c>
      <c r="AT54" s="1">
        <v>2.2</v>
      </c>
      <c r="AU54" s="1">
        <v>17</v>
      </c>
      <c r="AV54" s="1">
        <f t="shared" si="18"/>
        <v>0.1856</v>
      </c>
      <c r="AW54" s="1">
        <f t="shared" si="19"/>
        <v>0.028159999999999998</v>
      </c>
      <c r="AX54" s="1">
        <f t="shared" si="20"/>
        <v>0.2176</v>
      </c>
      <c r="AY54" s="1" t="s">
        <v>3</v>
      </c>
      <c r="AZ54" s="1">
        <v>1.5</v>
      </c>
      <c r="BA54" s="1">
        <f>$G$6</f>
        <v>100</v>
      </c>
      <c r="BB54" s="1">
        <f t="shared" si="4"/>
        <v>1.5</v>
      </c>
      <c r="BC54" s="1">
        <v>14.5</v>
      </c>
      <c r="BD54" s="1">
        <v>2.2</v>
      </c>
      <c r="BE54" s="1">
        <v>17</v>
      </c>
      <c r="BF54" s="1">
        <f t="shared" si="21"/>
        <v>0.2175</v>
      </c>
      <c r="BG54" s="1">
        <f t="shared" si="22"/>
        <v>0.033</v>
      </c>
      <c r="BH54" s="1">
        <f t="shared" si="23"/>
        <v>0.255</v>
      </c>
    </row>
    <row r="55" spans="1:60" ht="12.75">
      <c r="A55" s="1" t="s">
        <v>4</v>
      </c>
      <c r="B55" s="29">
        <v>1.05</v>
      </c>
      <c r="C55" s="1">
        <f>$G$7</f>
        <v>20</v>
      </c>
      <c r="D55" s="1">
        <f t="shared" si="5"/>
        <v>0.21</v>
      </c>
      <c r="E55" s="1">
        <v>17</v>
      </c>
      <c r="F55" s="1">
        <v>1.2</v>
      </c>
      <c r="G55" s="1">
        <v>14</v>
      </c>
      <c r="H55" s="1">
        <f t="shared" si="6"/>
        <v>0.035699999999999996</v>
      </c>
      <c r="I55" s="1">
        <f t="shared" si="7"/>
        <v>0.00252</v>
      </c>
      <c r="J55" s="2">
        <f t="shared" si="8"/>
        <v>0.0294</v>
      </c>
      <c r="K55" s="2" t="s">
        <v>4</v>
      </c>
      <c r="L55" s="1">
        <v>0.84</v>
      </c>
      <c r="M55" s="1">
        <f>$G$7</f>
        <v>20</v>
      </c>
      <c r="N55" s="1">
        <f t="shared" si="0"/>
        <v>0.168</v>
      </c>
      <c r="O55" s="1">
        <v>16</v>
      </c>
      <c r="P55" s="1">
        <v>1.2</v>
      </c>
      <c r="Q55" s="1">
        <v>15</v>
      </c>
      <c r="R55" s="1">
        <f t="shared" si="9"/>
        <v>0.02688</v>
      </c>
      <c r="S55" s="1">
        <f t="shared" si="10"/>
        <v>0.002016</v>
      </c>
      <c r="T55" s="1">
        <f t="shared" si="11"/>
        <v>0.0252</v>
      </c>
      <c r="U55" s="1" t="s">
        <v>4</v>
      </c>
      <c r="V55" s="1">
        <v>1</v>
      </c>
      <c r="W55" s="1">
        <f>$G$7</f>
        <v>20</v>
      </c>
      <c r="X55" s="1">
        <f t="shared" si="1"/>
        <v>0.2</v>
      </c>
      <c r="Y55" s="1">
        <v>16</v>
      </c>
      <c r="Z55" s="1">
        <v>1.2</v>
      </c>
      <c r="AA55" s="1">
        <v>15</v>
      </c>
      <c r="AB55" s="1">
        <f t="shared" si="12"/>
        <v>0.032</v>
      </c>
      <c r="AC55" s="1">
        <f t="shared" si="13"/>
        <v>0.0024</v>
      </c>
      <c r="AD55" s="1">
        <f t="shared" si="14"/>
        <v>0.03</v>
      </c>
      <c r="AE55" s="1" t="s">
        <v>4</v>
      </c>
      <c r="AF55" s="1">
        <v>1.2</v>
      </c>
      <c r="AG55" s="1">
        <f>$G$7</f>
        <v>20</v>
      </c>
      <c r="AH55" s="1">
        <f t="shared" si="2"/>
        <v>0.24</v>
      </c>
      <c r="AI55" s="1">
        <v>16</v>
      </c>
      <c r="AJ55" s="1">
        <v>1.2</v>
      </c>
      <c r="AK55" s="1">
        <v>15</v>
      </c>
      <c r="AL55" s="1">
        <f t="shared" si="15"/>
        <v>0.0384</v>
      </c>
      <c r="AM55" s="1">
        <f t="shared" si="16"/>
        <v>0.0028799999999999997</v>
      </c>
      <c r="AN55" s="1">
        <f t="shared" si="17"/>
        <v>0.036</v>
      </c>
      <c r="AO55" s="1" t="s">
        <v>4</v>
      </c>
      <c r="AP55" s="1">
        <v>0.9</v>
      </c>
      <c r="AQ55" s="1">
        <f>$G$7</f>
        <v>20</v>
      </c>
      <c r="AR55" s="1">
        <f t="shared" si="3"/>
        <v>0.18</v>
      </c>
      <c r="AS55" s="1">
        <v>16</v>
      </c>
      <c r="AT55" s="1">
        <v>1.2</v>
      </c>
      <c r="AU55" s="1">
        <v>15</v>
      </c>
      <c r="AV55" s="1">
        <f t="shared" si="18"/>
        <v>0.0288</v>
      </c>
      <c r="AW55" s="1">
        <f t="shared" si="19"/>
        <v>0.00216</v>
      </c>
      <c r="AX55" s="1">
        <f t="shared" si="20"/>
        <v>0.026999999999999996</v>
      </c>
      <c r="AY55" s="1" t="s">
        <v>4</v>
      </c>
      <c r="AZ55" s="1">
        <v>1.2</v>
      </c>
      <c r="BA55" s="1">
        <f>$G$7</f>
        <v>20</v>
      </c>
      <c r="BB55" s="1">
        <f t="shared" si="4"/>
        <v>0.24</v>
      </c>
      <c r="BC55" s="1">
        <v>16</v>
      </c>
      <c r="BD55" s="1">
        <v>1.2</v>
      </c>
      <c r="BE55" s="1">
        <v>15</v>
      </c>
      <c r="BF55" s="1">
        <f t="shared" si="21"/>
        <v>0.0384</v>
      </c>
      <c r="BG55" s="1">
        <f t="shared" si="22"/>
        <v>0.0028799999999999997</v>
      </c>
      <c r="BH55" s="1">
        <f t="shared" si="23"/>
        <v>0.036</v>
      </c>
    </row>
    <row r="56" spans="1:60" ht="12.75">
      <c r="A56" s="1" t="s">
        <v>28</v>
      </c>
      <c r="B56" s="29">
        <v>0.6</v>
      </c>
      <c r="C56" s="1">
        <f>$G$8</f>
        <v>30</v>
      </c>
      <c r="D56" s="1">
        <f t="shared" si="5"/>
        <v>0.18</v>
      </c>
      <c r="E56" s="1">
        <v>17</v>
      </c>
      <c r="F56" s="1">
        <v>1.2</v>
      </c>
      <c r="G56" s="1">
        <v>14</v>
      </c>
      <c r="H56" s="1">
        <f t="shared" si="6"/>
        <v>0.030600000000000002</v>
      </c>
      <c r="I56" s="1">
        <f t="shared" si="7"/>
        <v>0.00216</v>
      </c>
      <c r="J56" s="2">
        <f t="shared" si="8"/>
        <v>0.0252</v>
      </c>
      <c r="K56" s="2" t="s">
        <v>28</v>
      </c>
      <c r="L56" s="1">
        <v>0.7</v>
      </c>
      <c r="M56" s="1">
        <f>$G$8</f>
        <v>30</v>
      </c>
      <c r="N56" s="1">
        <f t="shared" si="0"/>
        <v>0.21</v>
      </c>
      <c r="O56" s="1">
        <v>17</v>
      </c>
      <c r="P56" s="1">
        <v>1.2</v>
      </c>
      <c r="Q56" s="1">
        <v>15</v>
      </c>
      <c r="R56" s="1">
        <f t="shared" si="9"/>
        <v>0.035699999999999996</v>
      </c>
      <c r="S56" s="1">
        <f t="shared" si="10"/>
        <v>0.00252</v>
      </c>
      <c r="T56" s="1">
        <f t="shared" si="11"/>
        <v>0.0315</v>
      </c>
      <c r="U56" s="1" t="s">
        <v>28</v>
      </c>
      <c r="V56" s="1">
        <v>0.75</v>
      </c>
      <c r="W56" s="1">
        <f>$G$8</f>
        <v>30</v>
      </c>
      <c r="X56" s="1">
        <f t="shared" si="1"/>
        <v>0.225</v>
      </c>
      <c r="Y56" s="1">
        <v>17</v>
      </c>
      <c r="Z56" s="1">
        <v>1.2</v>
      </c>
      <c r="AA56" s="1">
        <v>15</v>
      </c>
      <c r="AB56" s="1">
        <f t="shared" si="12"/>
        <v>0.03825</v>
      </c>
      <c r="AC56" s="1">
        <f t="shared" si="13"/>
        <v>0.0027</v>
      </c>
      <c r="AD56" s="1">
        <f t="shared" si="14"/>
        <v>0.03375</v>
      </c>
      <c r="AE56" s="1" t="s">
        <v>28</v>
      </c>
      <c r="AF56" s="1">
        <v>0.8</v>
      </c>
      <c r="AG56" s="1">
        <f>$G$8</f>
        <v>30</v>
      </c>
      <c r="AH56" s="1">
        <f t="shared" si="2"/>
        <v>0.24</v>
      </c>
      <c r="AI56" s="1">
        <v>17</v>
      </c>
      <c r="AJ56" s="1">
        <v>1.2</v>
      </c>
      <c r="AK56" s="1">
        <v>15</v>
      </c>
      <c r="AL56" s="1">
        <f t="shared" si="15"/>
        <v>0.0408</v>
      </c>
      <c r="AM56" s="1">
        <f t="shared" si="16"/>
        <v>0.0028799999999999997</v>
      </c>
      <c r="AN56" s="1">
        <f t="shared" si="17"/>
        <v>0.036</v>
      </c>
      <c r="AO56" s="1" t="s">
        <v>28</v>
      </c>
      <c r="AP56" s="1">
        <v>0.7</v>
      </c>
      <c r="AQ56" s="1">
        <f>$G$8</f>
        <v>30</v>
      </c>
      <c r="AR56" s="1">
        <f t="shared" si="3"/>
        <v>0.21</v>
      </c>
      <c r="AS56" s="1">
        <v>17</v>
      </c>
      <c r="AT56" s="1">
        <v>1.2</v>
      </c>
      <c r="AU56" s="1">
        <v>15</v>
      </c>
      <c r="AV56" s="1">
        <f t="shared" si="18"/>
        <v>0.035699999999999996</v>
      </c>
      <c r="AW56" s="1">
        <f t="shared" si="19"/>
        <v>0.00252</v>
      </c>
      <c r="AX56" s="1">
        <f t="shared" si="20"/>
        <v>0.0315</v>
      </c>
      <c r="AY56" s="1" t="s">
        <v>28</v>
      </c>
      <c r="AZ56" s="1">
        <v>0.8</v>
      </c>
      <c r="BA56" s="1">
        <f>$G$8</f>
        <v>30</v>
      </c>
      <c r="BB56" s="1">
        <f t="shared" si="4"/>
        <v>0.24</v>
      </c>
      <c r="BC56" s="1">
        <v>17</v>
      </c>
      <c r="BD56" s="1">
        <v>1.2</v>
      </c>
      <c r="BE56" s="1">
        <v>15</v>
      </c>
      <c r="BF56" s="1">
        <f t="shared" si="21"/>
        <v>0.0408</v>
      </c>
      <c r="BG56" s="1">
        <f t="shared" si="22"/>
        <v>0.0028799999999999997</v>
      </c>
      <c r="BH56" s="1">
        <f t="shared" si="23"/>
        <v>0.036</v>
      </c>
    </row>
    <row r="57" spans="1:60" ht="12.75">
      <c r="A57" s="1" t="s">
        <v>6</v>
      </c>
      <c r="B57" s="29">
        <f>-0.84+0.034*C4</f>
        <v>2.5600000000000005</v>
      </c>
      <c r="C57" s="1">
        <f>$G$9</f>
        <v>40</v>
      </c>
      <c r="D57" s="1">
        <f t="shared" si="5"/>
        <v>1.0240000000000002</v>
      </c>
      <c r="E57" s="1">
        <v>19</v>
      </c>
      <c r="F57" s="1">
        <v>1</v>
      </c>
      <c r="G57" s="1">
        <v>5</v>
      </c>
      <c r="H57" s="1">
        <f t="shared" si="6"/>
        <v>0.19456000000000004</v>
      </c>
      <c r="I57" s="1">
        <f t="shared" si="7"/>
        <v>0.010240000000000003</v>
      </c>
      <c r="J57" s="2">
        <f t="shared" si="8"/>
        <v>0.05120000000000001</v>
      </c>
      <c r="K57" s="2" t="s">
        <v>6</v>
      </c>
      <c r="L57" s="1">
        <v>4.3</v>
      </c>
      <c r="M57" s="1">
        <f>$G$9</f>
        <v>40</v>
      </c>
      <c r="N57" s="1">
        <f t="shared" si="0"/>
        <v>1.72</v>
      </c>
      <c r="O57" s="1">
        <v>18</v>
      </c>
      <c r="P57" s="1">
        <v>1</v>
      </c>
      <c r="Q57" s="1">
        <v>6.5</v>
      </c>
      <c r="R57" s="1">
        <f t="shared" si="9"/>
        <v>0.3096</v>
      </c>
      <c r="S57" s="1">
        <f t="shared" si="10"/>
        <v>0.0172</v>
      </c>
      <c r="T57" s="1">
        <f t="shared" si="11"/>
        <v>0.1118</v>
      </c>
      <c r="U57" s="1" t="s">
        <v>6</v>
      </c>
      <c r="V57" s="1">
        <v>5.7</v>
      </c>
      <c r="W57" s="1">
        <f>$G$9</f>
        <v>40</v>
      </c>
      <c r="X57" s="1">
        <f t="shared" si="1"/>
        <v>2.28</v>
      </c>
      <c r="Y57" s="1">
        <v>18</v>
      </c>
      <c r="Z57" s="1">
        <v>1</v>
      </c>
      <c r="AA57" s="1">
        <v>6.5</v>
      </c>
      <c r="AB57" s="1">
        <f t="shared" si="12"/>
        <v>0.4104</v>
      </c>
      <c r="AC57" s="1">
        <f t="shared" si="13"/>
        <v>0.022799999999999997</v>
      </c>
      <c r="AD57" s="1">
        <f t="shared" si="14"/>
        <v>0.1482</v>
      </c>
      <c r="AE57" s="1" t="s">
        <v>6</v>
      </c>
      <c r="AF57" s="1">
        <v>6.5</v>
      </c>
      <c r="AG57" s="1">
        <f>$G$9</f>
        <v>40</v>
      </c>
      <c r="AH57" s="1">
        <f t="shared" si="2"/>
        <v>2.6</v>
      </c>
      <c r="AI57" s="1">
        <v>18</v>
      </c>
      <c r="AJ57" s="1">
        <v>1</v>
      </c>
      <c r="AK57" s="1">
        <v>6.5</v>
      </c>
      <c r="AL57" s="1">
        <f t="shared" si="15"/>
        <v>0.468</v>
      </c>
      <c r="AM57" s="1">
        <f t="shared" si="16"/>
        <v>0.026000000000000002</v>
      </c>
      <c r="AN57" s="1">
        <f t="shared" si="17"/>
        <v>0.169</v>
      </c>
      <c r="AO57" s="1" t="s">
        <v>6</v>
      </c>
      <c r="AP57" s="1">
        <v>5</v>
      </c>
      <c r="AQ57" s="1">
        <f>$G$9</f>
        <v>40</v>
      </c>
      <c r="AR57" s="1">
        <f t="shared" si="3"/>
        <v>2</v>
      </c>
      <c r="AS57" s="1">
        <v>18</v>
      </c>
      <c r="AT57" s="1">
        <v>1</v>
      </c>
      <c r="AU57" s="1">
        <v>6.5</v>
      </c>
      <c r="AV57" s="1">
        <f t="shared" si="18"/>
        <v>0.36</v>
      </c>
      <c r="AW57" s="1">
        <f t="shared" si="19"/>
        <v>0.02</v>
      </c>
      <c r="AX57" s="1">
        <f t="shared" si="20"/>
        <v>0.13</v>
      </c>
      <c r="AY57" s="1" t="s">
        <v>6</v>
      </c>
      <c r="AZ57" s="1">
        <v>5.6</v>
      </c>
      <c r="BA57" s="1">
        <f>$G$9</f>
        <v>40</v>
      </c>
      <c r="BB57" s="1">
        <f t="shared" si="4"/>
        <v>2.24</v>
      </c>
      <c r="BC57" s="1">
        <v>18</v>
      </c>
      <c r="BD57" s="1">
        <v>1</v>
      </c>
      <c r="BE57" s="1">
        <v>6.5</v>
      </c>
      <c r="BF57" s="1">
        <f t="shared" si="21"/>
        <v>0.40320000000000006</v>
      </c>
      <c r="BG57" s="1">
        <f t="shared" si="22"/>
        <v>0.022400000000000003</v>
      </c>
      <c r="BH57" s="1">
        <f t="shared" si="23"/>
        <v>0.14560000000000003</v>
      </c>
    </row>
    <row r="58" spans="1:60" ht="12.75">
      <c r="A58" s="1" t="s">
        <v>7</v>
      </c>
      <c r="B58" s="29">
        <f>-0.21+0.0145*C4</f>
        <v>1.2400000000000002</v>
      </c>
      <c r="C58" s="1">
        <f>$G$10</f>
        <v>100</v>
      </c>
      <c r="D58" s="1">
        <f t="shared" si="5"/>
        <v>1.2400000000000002</v>
      </c>
      <c r="E58" s="1">
        <v>17</v>
      </c>
      <c r="F58" s="1">
        <v>2.5</v>
      </c>
      <c r="G58" s="1">
        <v>2</v>
      </c>
      <c r="H58" s="1">
        <f t="shared" si="6"/>
        <v>0.21080000000000004</v>
      </c>
      <c r="I58" s="1">
        <f t="shared" si="7"/>
        <v>0.031000000000000007</v>
      </c>
      <c r="J58" s="2">
        <f t="shared" si="8"/>
        <v>0.024800000000000003</v>
      </c>
      <c r="K58" s="2" t="s">
        <v>7</v>
      </c>
      <c r="L58" s="1">
        <f>-0.025+0.0096*C5</f>
        <v>1.7029999999999998</v>
      </c>
      <c r="M58" s="1">
        <f>$G$10</f>
        <v>100</v>
      </c>
      <c r="N58" s="1">
        <f t="shared" si="0"/>
        <v>1.7029999999999998</v>
      </c>
      <c r="O58" s="1">
        <v>16.5</v>
      </c>
      <c r="P58" s="1">
        <v>2.5</v>
      </c>
      <c r="Q58" s="1">
        <v>2.5</v>
      </c>
      <c r="R58" s="1">
        <f t="shared" si="9"/>
        <v>0.280995</v>
      </c>
      <c r="S58" s="1">
        <f t="shared" si="10"/>
        <v>0.042574999999999995</v>
      </c>
      <c r="T58" s="1">
        <f t="shared" si="11"/>
        <v>0.042574999999999995</v>
      </c>
      <c r="U58" s="1" t="s">
        <v>7</v>
      </c>
      <c r="V58" s="1">
        <f>0.78+0.006*C6</f>
        <v>2.43</v>
      </c>
      <c r="W58" s="1">
        <f>$G$10</f>
        <v>100</v>
      </c>
      <c r="X58" s="1">
        <f t="shared" si="1"/>
        <v>2.43</v>
      </c>
      <c r="Y58" s="1">
        <v>16.5</v>
      </c>
      <c r="Z58" s="1">
        <v>2.5</v>
      </c>
      <c r="AA58" s="1">
        <v>2.5</v>
      </c>
      <c r="AB58" s="1">
        <f t="shared" si="12"/>
        <v>0.4009500000000001</v>
      </c>
      <c r="AC58" s="1">
        <f t="shared" si="13"/>
        <v>0.06075</v>
      </c>
      <c r="AD58" s="1">
        <f t="shared" si="14"/>
        <v>0.06075</v>
      </c>
      <c r="AE58" s="1" t="s">
        <v>7</v>
      </c>
      <c r="AF58" s="1">
        <f>0.87+0.0043*C7</f>
        <v>2.504</v>
      </c>
      <c r="AG58" s="1">
        <f>$G$10</f>
        <v>100</v>
      </c>
      <c r="AH58" s="1">
        <f t="shared" si="2"/>
        <v>2.504</v>
      </c>
      <c r="AI58" s="1">
        <v>16.5</v>
      </c>
      <c r="AJ58" s="1">
        <v>2.5</v>
      </c>
      <c r="AK58" s="1">
        <v>2.5</v>
      </c>
      <c r="AL58" s="1">
        <f t="shared" si="15"/>
        <v>0.41316</v>
      </c>
      <c r="AM58" s="1">
        <f t="shared" si="16"/>
        <v>0.0626</v>
      </c>
      <c r="AN58" s="1">
        <f t="shared" si="17"/>
        <v>0.0626</v>
      </c>
      <c r="AO58" s="1" t="s">
        <v>7</v>
      </c>
      <c r="AP58" s="1">
        <v>2.34</v>
      </c>
      <c r="AQ58" s="1">
        <f>$G$10</f>
        <v>100</v>
      </c>
      <c r="AR58" s="1">
        <f t="shared" si="3"/>
        <v>2.34</v>
      </c>
      <c r="AS58" s="1">
        <v>16.5</v>
      </c>
      <c r="AT58" s="1">
        <v>2.5</v>
      </c>
      <c r="AU58" s="1">
        <v>2.5</v>
      </c>
      <c r="AV58" s="1">
        <f t="shared" si="18"/>
        <v>0.3861</v>
      </c>
      <c r="AW58" s="1">
        <f t="shared" si="19"/>
        <v>0.058499999999999996</v>
      </c>
      <c r="AX58" s="1">
        <f t="shared" si="20"/>
        <v>0.058499999999999996</v>
      </c>
      <c r="AY58" s="1" t="s">
        <v>7</v>
      </c>
      <c r="AZ58" s="1">
        <v>2.8</v>
      </c>
      <c r="BA58" s="1">
        <f>$G$10</f>
        <v>100</v>
      </c>
      <c r="BB58" s="1">
        <f t="shared" si="4"/>
        <v>2.8</v>
      </c>
      <c r="BC58" s="1">
        <v>16.5</v>
      </c>
      <c r="BD58" s="1">
        <v>2.5</v>
      </c>
      <c r="BE58" s="1">
        <v>2.5</v>
      </c>
      <c r="BF58" s="1">
        <f t="shared" si="21"/>
        <v>0.46199999999999997</v>
      </c>
      <c r="BG58" s="1">
        <f t="shared" si="22"/>
        <v>0.07</v>
      </c>
      <c r="BH58" s="1">
        <f t="shared" si="23"/>
        <v>0.07</v>
      </c>
    </row>
    <row r="59" spans="1:60" ht="12.75">
      <c r="A59" s="1" t="s">
        <v>8</v>
      </c>
      <c r="B59" s="29">
        <v>0.76</v>
      </c>
      <c r="C59" s="1">
        <f>$G$11</f>
        <v>100</v>
      </c>
      <c r="D59" s="1">
        <f t="shared" si="5"/>
        <v>0.76</v>
      </c>
      <c r="E59" s="1">
        <v>14</v>
      </c>
      <c r="F59" s="1">
        <v>1.5</v>
      </c>
      <c r="G59" s="1">
        <v>13</v>
      </c>
      <c r="H59" s="1">
        <f t="shared" si="6"/>
        <v>0.10640000000000001</v>
      </c>
      <c r="I59" s="1">
        <f t="shared" si="7"/>
        <v>0.0114</v>
      </c>
      <c r="J59" s="2">
        <f t="shared" si="8"/>
        <v>0.09880000000000001</v>
      </c>
      <c r="K59" s="2" t="s">
        <v>8</v>
      </c>
      <c r="L59" s="1">
        <v>1.3</v>
      </c>
      <c r="M59" s="1">
        <f>$G$11</f>
        <v>100</v>
      </c>
      <c r="N59" s="1">
        <f t="shared" si="0"/>
        <v>1.3</v>
      </c>
      <c r="O59" s="1">
        <v>13</v>
      </c>
      <c r="P59" s="1">
        <v>1.5</v>
      </c>
      <c r="Q59" s="1">
        <v>14</v>
      </c>
      <c r="R59" s="1">
        <f t="shared" si="9"/>
        <v>0.169</v>
      </c>
      <c r="S59" s="1">
        <f t="shared" si="10"/>
        <v>0.019500000000000003</v>
      </c>
      <c r="T59" s="1">
        <f t="shared" si="11"/>
        <v>0.182</v>
      </c>
      <c r="U59" s="1" t="s">
        <v>8</v>
      </c>
      <c r="V59" s="1">
        <v>2.6</v>
      </c>
      <c r="W59" s="1">
        <f>$G$11</f>
        <v>100</v>
      </c>
      <c r="X59" s="1">
        <f t="shared" si="1"/>
        <v>2.6</v>
      </c>
      <c r="Y59" s="1">
        <v>13</v>
      </c>
      <c r="Z59" s="1">
        <v>1.5</v>
      </c>
      <c r="AA59" s="1">
        <v>14</v>
      </c>
      <c r="AB59" s="1">
        <f t="shared" si="12"/>
        <v>0.338</v>
      </c>
      <c r="AC59" s="1">
        <f t="shared" si="13"/>
        <v>0.03900000000000001</v>
      </c>
      <c r="AD59" s="1">
        <f t="shared" si="14"/>
        <v>0.364</v>
      </c>
      <c r="AE59" s="1" t="s">
        <v>8</v>
      </c>
      <c r="AF59" s="1">
        <v>2.9</v>
      </c>
      <c r="AG59" s="1">
        <f>$G$11</f>
        <v>100</v>
      </c>
      <c r="AH59" s="1">
        <f t="shared" si="2"/>
        <v>2.9</v>
      </c>
      <c r="AI59" s="1">
        <v>13</v>
      </c>
      <c r="AJ59" s="1">
        <v>1.5</v>
      </c>
      <c r="AK59" s="1">
        <v>14</v>
      </c>
      <c r="AL59" s="1">
        <f t="shared" si="15"/>
        <v>0.37699999999999995</v>
      </c>
      <c r="AM59" s="1">
        <f t="shared" si="16"/>
        <v>0.0435</v>
      </c>
      <c r="AN59" s="1">
        <f t="shared" si="17"/>
        <v>0.406</v>
      </c>
      <c r="AO59" s="1" t="s">
        <v>8</v>
      </c>
      <c r="AP59" s="1">
        <v>2</v>
      </c>
      <c r="AQ59" s="1">
        <f>$G$11</f>
        <v>100</v>
      </c>
      <c r="AR59" s="1">
        <f t="shared" si="3"/>
        <v>2</v>
      </c>
      <c r="AS59" s="1">
        <v>13</v>
      </c>
      <c r="AT59" s="1">
        <v>1.5</v>
      </c>
      <c r="AU59" s="1">
        <v>14</v>
      </c>
      <c r="AV59" s="1">
        <f t="shared" si="18"/>
        <v>0.26</v>
      </c>
      <c r="AW59" s="1">
        <f t="shared" si="19"/>
        <v>0.03</v>
      </c>
      <c r="AX59" s="1">
        <f t="shared" si="20"/>
        <v>0.28</v>
      </c>
      <c r="AY59" s="1" t="s">
        <v>8</v>
      </c>
      <c r="AZ59" s="1">
        <v>2.6</v>
      </c>
      <c r="BA59" s="1">
        <f>$G$11</f>
        <v>100</v>
      </c>
      <c r="BB59" s="1">
        <f t="shared" si="4"/>
        <v>2.6</v>
      </c>
      <c r="BC59" s="1">
        <v>13</v>
      </c>
      <c r="BD59" s="1">
        <v>1.5</v>
      </c>
      <c r="BE59" s="1">
        <v>14</v>
      </c>
      <c r="BF59" s="1">
        <f t="shared" si="21"/>
        <v>0.338</v>
      </c>
      <c r="BG59" s="1">
        <f t="shared" si="22"/>
        <v>0.03900000000000001</v>
      </c>
      <c r="BH59" s="1">
        <f t="shared" si="23"/>
        <v>0.364</v>
      </c>
    </row>
    <row r="60" spans="1:60" ht="12.75">
      <c r="A60" s="1" t="s">
        <v>9</v>
      </c>
      <c r="B60" s="29">
        <f>0.1+0.005*C4</f>
        <v>0.6</v>
      </c>
      <c r="C60" s="1">
        <f>$G$12</f>
        <v>20</v>
      </c>
      <c r="D60" s="1">
        <f t="shared" si="5"/>
        <v>0.12</v>
      </c>
      <c r="E60" s="1">
        <v>16</v>
      </c>
      <c r="F60" s="1">
        <v>1</v>
      </c>
      <c r="G60" s="1">
        <v>5</v>
      </c>
      <c r="H60" s="1">
        <f t="shared" si="6"/>
        <v>0.0192</v>
      </c>
      <c r="I60" s="1">
        <f t="shared" si="7"/>
        <v>0.0012</v>
      </c>
      <c r="J60" s="2">
        <f t="shared" si="8"/>
        <v>0.006</v>
      </c>
      <c r="K60" s="2" t="s">
        <v>9</v>
      </c>
      <c r="L60" s="1">
        <f>0.412+0.0032*C5</f>
        <v>0.988</v>
      </c>
      <c r="M60" s="1">
        <f>$G$12</f>
        <v>20</v>
      </c>
      <c r="N60" s="1">
        <f t="shared" si="0"/>
        <v>0.19759999999999997</v>
      </c>
      <c r="O60" s="1">
        <v>15</v>
      </c>
      <c r="P60" s="1">
        <v>1</v>
      </c>
      <c r="Q60" s="1">
        <v>7</v>
      </c>
      <c r="R60" s="1">
        <f t="shared" si="9"/>
        <v>0.029639999999999996</v>
      </c>
      <c r="S60" s="1">
        <f t="shared" si="10"/>
        <v>0.001976</v>
      </c>
      <c r="T60" s="1">
        <f t="shared" si="11"/>
        <v>0.013831999999999997</v>
      </c>
      <c r="U60" s="1" t="s">
        <v>9</v>
      </c>
      <c r="V60" s="1">
        <v>1.3</v>
      </c>
      <c r="W60" s="1">
        <f>$G$12</f>
        <v>20</v>
      </c>
      <c r="X60" s="1">
        <f t="shared" si="1"/>
        <v>0.26</v>
      </c>
      <c r="Y60" s="1">
        <v>15</v>
      </c>
      <c r="Z60" s="1">
        <v>1</v>
      </c>
      <c r="AA60" s="1">
        <v>7</v>
      </c>
      <c r="AB60" s="1">
        <f t="shared" si="12"/>
        <v>0.03900000000000001</v>
      </c>
      <c r="AC60" s="1">
        <f t="shared" si="13"/>
        <v>0.0026</v>
      </c>
      <c r="AD60" s="1">
        <f t="shared" si="14"/>
        <v>0.0182</v>
      </c>
      <c r="AE60" s="1" t="s">
        <v>9</v>
      </c>
      <c r="AF60" s="1">
        <f>0.07+0.0048*C7</f>
        <v>1.894</v>
      </c>
      <c r="AG60" s="1">
        <f>$G$12</f>
        <v>20</v>
      </c>
      <c r="AH60" s="1">
        <f t="shared" si="2"/>
        <v>0.37879999999999997</v>
      </c>
      <c r="AI60" s="1">
        <v>14</v>
      </c>
      <c r="AJ60" s="1">
        <v>1</v>
      </c>
      <c r="AK60" s="1">
        <v>20</v>
      </c>
      <c r="AL60" s="1">
        <f t="shared" si="15"/>
        <v>0.053031999999999996</v>
      </c>
      <c r="AM60" s="1">
        <f t="shared" si="16"/>
        <v>0.0037879999999999997</v>
      </c>
      <c r="AN60" s="1">
        <f t="shared" si="17"/>
        <v>0.07576</v>
      </c>
      <c r="AO60" s="1" t="s">
        <v>9</v>
      </c>
      <c r="AP60" s="1">
        <f>0.474+0.0049*C8</f>
        <v>1.454</v>
      </c>
      <c r="AQ60" s="1">
        <f>$G$12</f>
        <v>20</v>
      </c>
      <c r="AR60" s="1">
        <f t="shared" si="3"/>
        <v>0.2908</v>
      </c>
      <c r="AS60" s="1">
        <v>14</v>
      </c>
      <c r="AT60" s="1">
        <v>1</v>
      </c>
      <c r="AU60" s="1">
        <v>20</v>
      </c>
      <c r="AV60" s="1">
        <f t="shared" si="18"/>
        <v>0.040712</v>
      </c>
      <c r="AW60" s="1">
        <f t="shared" si="19"/>
        <v>0.002908</v>
      </c>
      <c r="AX60" s="1">
        <f t="shared" si="20"/>
        <v>0.058159999999999996</v>
      </c>
      <c r="AY60" s="1" t="s">
        <v>9</v>
      </c>
      <c r="AZ60" s="1">
        <v>1.5</v>
      </c>
      <c r="BA60" s="1">
        <f>$G$12</f>
        <v>20</v>
      </c>
      <c r="BB60" s="1">
        <f t="shared" si="4"/>
        <v>0.3</v>
      </c>
      <c r="BC60" s="1">
        <v>14</v>
      </c>
      <c r="BD60" s="1">
        <v>1</v>
      </c>
      <c r="BE60" s="1">
        <v>20</v>
      </c>
      <c r="BF60" s="1">
        <f t="shared" si="21"/>
        <v>0.042</v>
      </c>
      <c r="BG60" s="1">
        <f t="shared" si="22"/>
        <v>0.003</v>
      </c>
      <c r="BH60" s="1">
        <f t="shared" si="23"/>
        <v>0.06</v>
      </c>
    </row>
    <row r="61" spans="1:60" ht="12.75">
      <c r="A61" s="1" t="s">
        <v>10</v>
      </c>
      <c r="B61" s="29">
        <v>0.45</v>
      </c>
      <c r="C61" s="1">
        <f>$G$13</f>
        <v>10</v>
      </c>
      <c r="D61" s="1">
        <f t="shared" si="5"/>
        <v>0.045</v>
      </c>
      <c r="E61" s="1">
        <v>18</v>
      </c>
      <c r="F61" s="1">
        <v>1.1</v>
      </c>
      <c r="G61" s="1">
        <v>6</v>
      </c>
      <c r="H61" s="1">
        <f t="shared" si="6"/>
        <v>0.0081</v>
      </c>
      <c r="I61" s="1">
        <f t="shared" si="7"/>
        <v>0.000495</v>
      </c>
      <c r="J61" s="2">
        <f t="shared" si="8"/>
        <v>0.0027</v>
      </c>
      <c r="K61" s="2" t="s">
        <v>10</v>
      </c>
      <c r="L61" s="1">
        <v>0.6</v>
      </c>
      <c r="M61" s="1">
        <f>$G$13</f>
        <v>10</v>
      </c>
      <c r="N61" s="1">
        <f t="shared" si="0"/>
        <v>0.06</v>
      </c>
      <c r="O61" s="1">
        <v>17</v>
      </c>
      <c r="P61" s="1">
        <v>1.1</v>
      </c>
      <c r="Q61" s="1">
        <v>8</v>
      </c>
      <c r="R61" s="1">
        <f t="shared" si="9"/>
        <v>0.0102</v>
      </c>
      <c r="S61" s="1">
        <f t="shared" si="10"/>
        <v>0.00066</v>
      </c>
      <c r="T61" s="1">
        <f t="shared" si="11"/>
        <v>0.0048</v>
      </c>
      <c r="U61" s="1" t="s">
        <v>10</v>
      </c>
      <c r="V61" s="1">
        <v>0.89</v>
      </c>
      <c r="W61" s="1">
        <f>$G$13</f>
        <v>10</v>
      </c>
      <c r="X61" s="1">
        <f t="shared" si="1"/>
        <v>0.08900000000000001</v>
      </c>
      <c r="Y61" s="1">
        <v>17</v>
      </c>
      <c r="Z61" s="1">
        <v>1.1</v>
      </c>
      <c r="AA61" s="1">
        <v>8</v>
      </c>
      <c r="AB61" s="1">
        <f t="shared" si="12"/>
        <v>0.015130000000000001</v>
      </c>
      <c r="AC61" s="1">
        <f t="shared" si="13"/>
        <v>0.000979</v>
      </c>
      <c r="AD61" s="1">
        <f t="shared" si="14"/>
        <v>0.0071200000000000005</v>
      </c>
      <c r="AE61" s="1" t="s">
        <v>10</v>
      </c>
      <c r="AF61" s="1">
        <v>0.89</v>
      </c>
      <c r="AG61" s="1">
        <f>$G$13</f>
        <v>10</v>
      </c>
      <c r="AH61" s="1">
        <f t="shared" si="2"/>
        <v>0.08900000000000001</v>
      </c>
      <c r="AI61" s="1">
        <v>17</v>
      </c>
      <c r="AJ61" s="1">
        <v>1.1</v>
      </c>
      <c r="AK61" s="1">
        <v>8</v>
      </c>
      <c r="AL61" s="1">
        <f t="shared" si="15"/>
        <v>0.015130000000000001</v>
      </c>
      <c r="AM61" s="1">
        <f t="shared" si="16"/>
        <v>0.000979</v>
      </c>
      <c r="AN61" s="1">
        <f t="shared" si="17"/>
        <v>0.0071200000000000005</v>
      </c>
      <c r="AO61" s="1" t="s">
        <v>10</v>
      </c>
      <c r="AP61" s="1">
        <v>0.89</v>
      </c>
      <c r="AQ61" s="1">
        <f>$G$13</f>
        <v>10</v>
      </c>
      <c r="AR61" s="1">
        <f t="shared" si="3"/>
        <v>0.08900000000000001</v>
      </c>
      <c r="AS61" s="1">
        <v>17</v>
      </c>
      <c r="AT61" s="1">
        <v>1.1</v>
      </c>
      <c r="AU61" s="1">
        <v>8</v>
      </c>
      <c r="AV61" s="1">
        <f t="shared" si="18"/>
        <v>0.015130000000000001</v>
      </c>
      <c r="AW61" s="1">
        <f t="shared" si="19"/>
        <v>0.000979</v>
      </c>
      <c r="AX61" s="1">
        <f t="shared" si="20"/>
        <v>0.0071200000000000005</v>
      </c>
      <c r="AY61" s="1" t="s">
        <v>10</v>
      </c>
      <c r="AZ61" s="1">
        <v>1</v>
      </c>
      <c r="BA61" s="1">
        <f>$G$13</f>
        <v>10</v>
      </c>
      <c r="BB61" s="1">
        <f t="shared" si="4"/>
        <v>0.1</v>
      </c>
      <c r="BC61" s="1">
        <v>17</v>
      </c>
      <c r="BD61" s="1">
        <v>1.1</v>
      </c>
      <c r="BE61" s="1">
        <v>8</v>
      </c>
      <c r="BF61" s="1">
        <f t="shared" si="21"/>
        <v>0.017</v>
      </c>
      <c r="BG61" s="1">
        <f t="shared" si="22"/>
        <v>0.0011</v>
      </c>
      <c r="BH61" s="1">
        <f t="shared" si="23"/>
        <v>0.008</v>
      </c>
    </row>
    <row r="62" spans="1:60" ht="12.75">
      <c r="A62" s="1" t="s">
        <v>11</v>
      </c>
      <c r="B62" s="29">
        <v>0.6</v>
      </c>
      <c r="C62" s="1">
        <f>$G$14</f>
        <v>10</v>
      </c>
      <c r="D62" s="1">
        <f t="shared" si="5"/>
        <v>0.06</v>
      </c>
      <c r="E62" s="1">
        <v>18</v>
      </c>
      <c r="F62" s="1">
        <v>1.2</v>
      </c>
      <c r="G62" s="1">
        <v>3</v>
      </c>
      <c r="H62" s="1">
        <f t="shared" si="6"/>
        <v>0.0108</v>
      </c>
      <c r="I62" s="1">
        <f t="shared" si="7"/>
        <v>0.0007199999999999999</v>
      </c>
      <c r="J62" s="2">
        <f t="shared" si="8"/>
        <v>0.0018</v>
      </c>
      <c r="K62" s="2" t="s">
        <v>11</v>
      </c>
      <c r="L62" s="1">
        <v>0.8</v>
      </c>
      <c r="M62" s="1">
        <f>$G$14</f>
        <v>10</v>
      </c>
      <c r="N62" s="1">
        <f t="shared" si="0"/>
        <v>0.08</v>
      </c>
      <c r="O62" s="1">
        <v>17</v>
      </c>
      <c r="P62" s="1">
        <v>1.2</v>
      </c>
      <c r="Q62" s="1">
        <v>4</v>
      </c>
      <c r="R62" s="1">
        <f t="shared" si="9"/>
        <v>0.013600000000000001</v>
      </c>
      <c r="S62" s="1">
        <f t="shared" si="10"/>
        <v>0.00096</v>
      </c>
      <c r="T62" s="1">
        <f t="shared" si="11"/>
        <v>0.0032</v>
      </c>
      <c r="U62" s="1" t="s">
        <v>11</v>
      </c>
      <c r="V62" s="1">
        <v>1</v>
      </c>
      <c r="W62" s="1">
        <f>$G$14</f>
        <v>10</v>
      </c>
      <c r="X62" s="1">
        <f t="shared" si="1"/>
        <v>0.1</v>
      </c>
      <c r="Y62" s="1">
        <v>17</v>
      </c>
      <c r="Z62" s="1">
        <v>1.2</v>
      </c>
      <c r="AA62" s="1">
        <v>4</v>
      </c>
      <c r="AB62" s="1">
        <f t="shared" si="12"/>
        <v>0.017</v>
      </c>
      <c r="AC62" s="1">
        <f t="shared" si="13"/>
        <v>0.0012</v>
      </c>
      <c r="AD62" s="1">
        <f t="shared" si="14"/>
        <v>0.004</v>
      </c>
      <c r="AE62" s="1" t="s">
        <v>11</v>
      </c>
      <c r="AF62" s="1">
        <v>1</v>
      </c>
      <c r="AG62" s="1">
        <f>$G$14</f>
        <v>10</v>
      </c>
      <c r="AH62" s="1">
        <f t="shared" si="2"/>
        <v>0.1</v>
      </c>
      <c r="AI62" s="1">
        <v>17</v>
      </c>
      <c r="AJ62" s="1">
        <v>1.2</v>
      </c>
      <c r="AK62" s="1">
        <v>4</v>
      </c>
      <c r="AL62" s="1">
        <f t="shared" si="15"/>
        <v>0.017</v>
      </c>
      <c r="AM62" s="1">
        <f t="shared" si="16"/>
        <v>0.0012</v>
      </c>
      <c r="AN62" s="1">
        <f t="shared" si="17"/>
        <v>0.004</v>
      </c>
      <c r="AO62" s="1" t="s">
        <v>11</v>
      </c>
      <c r="AP62" s="1">
        <v>1</v>
      </c>
      <c r="AQ62" s="1">
        <f>$G$14</f>
        <v>10</v>
      </c>
      <c r="AR62" s="1">
        <f t="shared" si="3"/>
        <v>0.1</v>
      </c>
      <c r="AS62" s="1">
        <v>17</v>
      </c>
      <c r="AT62" s="1">
        <v>1.2</v>
      </c>
      <c r="AU62" s="1">
        <v>4</v>
      </c>
      <c r="AV62" s="1">
        <f t="shared" si="18"/>
        <v>0.017</v>
      </c>
      <c r="AW62" s="1">
        <f t="shared" si="19"/>
        <v>0.0012</v>
      </c>
      <c r="AX62" s="1">
        <f t="shared" si="20"/>
        <v>0.004</v>
      </c>
      <c r="AY62" s="1" t="s">
        <v>11</v>
      </c>
      <c r="AZ62" s="1">
        <v>1</v>
      </c>
      <c r="BA62" s="1">
        <f>$G$14</f>
        <v>10</v>
      </c>
      <c r="BB62" s="1">
        <f t="shared" si="4"/>
        <v>0.1</v>
      </c>
      <c r="BC62" s="1">
        <v>17</v>
      </c>
      <c r="BD62" s="1">
        <v>1.2</v>
      </c>
      <c r="BE62" s="1">
        <v>4</v>
      </c>
      <c r="BF62" s="1">
        <f t="shared" si="21"/>
        <v>0.017</v>
      </c>
      <c r="BG62" s="1">
        <f t="shared" si="22"/>
        <v>0.0012</v>
      </c>
      <c r="BH62" s="1">
        <f t="shared" si="23"/>
        <v>0.004</v>
      </c>
    </row>
    <row r="63" spans="1:60" ht="12.75">
      <c r="A63" s="1" t="s">
        <v>12</v>
      </c>
      <c r="B63" s="29">
        <v>0.56</v>
      </c>
      <c r="C63" s="1">
        <f>$I$4</f>
        <v>100</v>
      </c>
      <c r="D63" s="1">
        <f t="shared" si="5"/>
        <v>0.56</v>
      </c>
      <c r="E63" s="1">
        <v>18</v>
      </c>
      <c r="F63" s="1">
        <v>1.2</v>
      </c>
      <c r="G63" s="1">
        <v>4</v>
      </c>
      <c r="H63" s="1">
        <f t="shared" si="6"/>
        <v>0.10080000000000001</v>
      </c>
      <c r="I63" s="1">
        <f t="shared" si="7"/>
        <v>0.00672</v>
      </c>
      <c r="J63" s="2">
        <f t="shared" si="8"/>
        <v>0.022400000000000003</v>
      </c>
      <c r="K63" s="2" t="s">
        <v>12</v>
      </c>
      <c r="L63" s="1">
        <v>0.8</v>
      </c>
      <c r="M63" s="1">
        <f>$I$4</f>
        <v>100</v>
      </c>
      <c r="N63" s="1">
        <f t="shared" si="0"/>
        <v>0.8</v>
      </c>
      <c r="O63" s="1">
        <v>17</v>
      </c>
      <c r="P63" s="1">
        <v>1.2</v>
      </c>
      <c r="Q63" s="1">
        <v>5</v>
      </c>
      <c r="R63" s="1">
        <f t="shared" si="9"/>
        <v>0.136</v>
      </c>
      <c r="S63" s="1">
        <f t="shared" si="10"/>
        <v>0.0096</v>
      </c>
      <c r="T63" s="1">
        <f t="shared" si="11"/>
        <v>0.04</v>
      </c>
      <c r="U63" s="1" t="s">
        <v>12</v>
      </c>
      <c r="V63" s="1">
        <v>0.67</v>
      </c>
      <c r="W63" s="1">
        <f>$I$4</f>
        <v>100</v>
      </c>
      <c r="X63" s="1">
        <f t="shared" si="1"/>
        <v>0.67</v>
      </c>
      <c r="Y63" s="1">
        <v>17</v>
      </c>
      <c r="Z63" s="1">
        <v>1.2</v>
      </c>
      <c r="AA63" s="1">
        <v>5</v>
      </c>
      <c r="AB63" s="1">
        <f t="shared" si="12"/>
        <v>0.1139</v>
      </c>
      <c r="AC63" s="1">
        <f t="shared" si="13"/>
        <v>0.00804</v>
      </c>
      <c r="AD63" s="1">
        <f t="shared" si="14"/>
        <v>0.0335</v>
      </c>
      <c r="AE63" s="1" t="s">
        <v>12</v>
      </c>
      <c r="AF63" s="1">
        <v>0.73</v>
      </c>
      <c r="AG63" s="1">
        <f>$I$4</f>
        <v>100</v>
      </c>
      <c r="AH63" s="1">
        <f t="shared" si="2"/>
        <v>0.73</v>
      </c>
      <c r="AI63" s="1">
        <v>17</v>
      </c>
      <c r="AJ63" s="1">
        <v>1.2</v>
      </c>
      <c r="AK63" s="1">
        <v>5</v>
      </c>
      <c r="AL63" s="1">
        <f t="shared" si="15"/>
        <v>0.1241</v>
      </c>
      <c r="AM63" s="1">
        <f t="shared" si="16"/>
        <v>0.00876</v>
      </c>
      <c r="AN63" s="1">
        <f t="shared" si="17"/>
        <v>0.0365</v>
      </c>
      <c r="AO63" s="1" t="s">
        <v>12</v>
      </c>
      <c r="AP63" s="1">
        <v>0.8</v>
      </c>
      <c r="AQ63" s="1">
        <f>$I$4</f>
        <v>100</v>
      </c>
      <c r="AR63" s="1">
        <f t="shared" si="3"/>
        <v>0.8</v>
      </c>
      <c r="AS63" s="1">
        <v>17</v>
      </c>
      <c r="AT63" s="1">
        <v>1.2</v>
      </c>
      <c r="AU63" s="1">
        <v>5</v>
      </c>
      <c r="AV63" s="1">
        <f t="shared" si="18"/>
        <v>0.136</v>
      </c>
      <c r="AW63" s="1">
        <f t="shared" si="19"/>
        <v>0.0096</v>
      </c>
      <c r="AX63" s="1">
        <f t="shared" si="20"/>
        <v>0.04</v>
      </c>
      <c r="AY63" s="1" t="s">
        <v>12</v>
      </c>
      <c r="AZ63" s="1">
        <v>0.76</v>
      </c>
      <c r="BA63" s="1">
        <f>$I$4</f>
        <v>100</v>
      </c>
      <c r="BB63" s="1">
        <f t="shared" si="4"/>
        <v>0.76</v>
      </c>
      <c r="BC63" s="1">
        <v>17</v>
      </c>
      <c r="BD63" s="1">
        <v>1.2</v>
      </c>
      <c r="BE63" s="1">
        <v>5</v>
      </c>
      <c r="BF63" s="1">
        <f t="shared" si="21"/>
        <v>0.1292</v>
      </c>
      <c r="BG63" s="1">
        <f t="shared" si="22"/>
        <v>0.00912</v>
      </c>
      <c r="BH63" s="1">
        <f t="shared" si="23"/>
        <v>0.038</v>
      </c>
    </row>
    <row r="64" spans="1:60" ht="12.75">
      <c r="A64" s="1" t="s">
        <v>13</v>
      </c>
      <c r="B64" s="29">
        <v>4</v>
      </c>
      <c r="C64" s="1">
        <f>$I$5</f>
        <v>40</v>
      </c>
      <c r="D64" s="1">
        <f t="shared" si="5"/>
        <v>1.6</v>
      </c>
      <c r="E64" s="1">
        <v>15</v>
      </c>
      <c r="F64" s="1">
        <v>1</v>
      </c>
      <c r="G64" s="1">
        <v>5</v>
      </c>
      <c r="H64" s="1">
        <f t="shared" si="6"/>
        <v>0.24</v>
      </c>
      <c r="I64" s="1">
        <f t="shared" si="7"/>
        <v>0.016</v>
      </c>
      <c r="J64" s="2">
        <f t="shared" si="8"/>
        <v>0.08</v>
      </c>
      <c r="K64" s="2" t="s">
        <v>13</v>
      </c>
      <c r="L64" s="1">
        <v>6</v>
      </c>
      <c r="M64" s="1">
        <f>$I$5</f>
        <v>40</v>
      </c>
      <c r="N64" s="1">
        <f t="shared" si="0"/>
        <v>2.4</v>
      </c>
      <c r="O64" s="1">
        <v>14</v>
      </c>
      <c r="P64" s="1">
        <v>1</v>
      </c>
      <c r="Q64" s="1">
        <v>6</v>
      </c>
      <c r="R64" s="1">
        <f t="shared" si="9"/>
        <v>0.336</v>
      </c>
      <c r="S64" s="1">
        <f t="shared" si="10"/>
        <v>0.024</v>
      </c>
      <c r="T64" s="1">
        <f t="shared" si="11"/>
        <v>0.144</v>
      </c>
      <c r="U64" s="1" t="s">
        <v>13</v>
      </c>
      <c r="V64" s="1">
        <v>9.5</v>
      </c>
      <c r="W64" s="1">
        <f>$I$5</f>
        <v>40</v>
      </c>
      <c r="X64" s="1">
        <f t="shared" si="1"/>
        <v>3.8</v>
      </c>
      <c r="Y64" s="1">
        <v>14</v>
      </c>
      <c r="Z64" s="1">
        <v>1</v>
      </c>
      <c r="AA64" s="1">
        <v>6</v>
      </c>
      <c r="AB64" s="1">
        <f t="shared" si="12"/>
        <v>0.5319999999999999</v>
      </c>
      <c r="AC64" s="1">
        <f t="shared" si="13"/>
        <v>0.038</v>
      </c>
      <c r="AD64" s="1">
        <f t="shared" si="14"/>
        <v>0.22799999999999998</v>
      </c>
      <c r="AE64" s="1" t="s">
        <v>13</v>
      </c>
      <c r="AF64" s="1">
        <v>10.8</v>
      </c>
      <c r="AG64" s="1">
        <f>$I$5</f>
        <v>40</v>
      </c>
      <c r="AH64" s="1">
        <f t="shared" si="2"/>
        <v>4.32</v>
      </c>
      <c r="AI64" s="1">
        <v>14</v>
      </c>
      <c r="AJ64" s="1">
        <v>1</v>
      </c>
      <c r="AK64" s="1">
        <v>10</v>
      </c>
      <c r="AL64" s="1">
        <f t="shared" si="15"/>
        <v>0.6048</v>
      </c>
      <c r="AM64" s="1">
        <f t="shared" si="16"/>
        <v>0.0432</v>
      </c>
      <c r="AN64" s="1">
        <f t="shared" si="17"/>
        <v>0.43200000000000005</v>
      </c>
      <c r="AO64" s="1" t="s">
        <v>13</v>
      </c>
      <c r="AP64" s="1">
        <f>5.11+0.018*C8</f>
        <v>8.71</v>
      </c>
      <c r="AQ64" s="1">
        <f>$I$5</f>
        <v>40</v>
      </c>
      <c r="AR64" s="1">
        <f t="shared" si="3"/>
        <v>3.4840000000000004</v>
      </c>
      <c r="AS64" s="1">
        <v>14</v>
      </c>
      <c r="AT64" s="1">
        <v>1</v>
      </c>
      <c r="AU64" s="1">
        <v>10</v>
      </c>
      <c r="AV64" s="1">
        <f t="shared" si="18"/>
        <v>0.48776</v>
      </c>
      <c r="AW64" s="1">
        <f t="shared" si="19"/>
        <v>0.03484</v>
      </c>
      <c r="AX64" s="1">
        <f t="shared" si="20"/>
        <v>0.34840000000000004</v>
      </c>
      <c r="AY64" s="1" t="s">
        <v>13</v>
      </c>
      <c r="AZ64" s="1">
        <v>9</v>
      </c>
      <c r="BA64" s="1">
        <f>$I$5</f>
        <v>40</v>
      </c>
      <c r="BB64" s="1">
        <f t="shared" si="4"/>
        <v>3.6</v>
      </c>
      <c r="BC64" s="1">
        <v>14</v>
      </c>
      <c r="BD64" s="1">
        <v>1</v>
      </c>
      <c r="BE64" s="1">
        <v>10</v>
      </c>
      <c r="BF64" s="1">
        <f t="shared" si="21"/>
        <v>0.504</v>
      </c>
      <c r="BG64" s="1">
        <f t="shared" si="22"/>
        <v>0.036000000000000004</v>
      </c>
      <c r="BH64" s="1">
        <f t="shared" si="23"/>
        <v>0.36</v>
      </c>
    </row>
    <row r="65" spans="1:60" ht="12.75">
      <c r="A65" s="1" t="s">
        <v>14</v>
      </c>
      <c r="B65" s="29">
        <v>4.2</v>
      </c>
      <c r="C65" s="1">
        <f>$I$6</f>
        <v>100</v>
      </c>
      <c r="D65" s="1">
        <f t="shared" si="5"/>
        <v>4.2</v>
      </c>
      <c r="E65" s="1">
        <v>12</v>
      </c>
      <c r="F65" s="1">
        <v>0.8</v>
      </c>
      <c r="G65" s="1">
        <v>15</v>
      </c>
      <c r="H65" s="1">
        <f t="shared" si="6"/>
        <v>0.504</v>
      </c>
      <c r="I65" s="1">
        <f t="shared" si="7"/>
        <v>0.033600000000000005</v>
      </c>
      <c r="J65" s="2">
        <f t="shared" si="8"/>
        <v>0.63</v>
      </c>
      <c r="K65" s="2" t="s">
        <v>14</v>
      </c>
      <c r="L65" s="1">
        <v>6</v>
      </c>
      <c r="M65" s="1">
        <f>$I$6</f>
        <v>100</v>
      </c>
      <c r="N65" s="1">
        <f t="shared" si="0"/>
        <v>6</v>
      </c>
      <c r="O65" s="1">
        <v>12</v>
      </c>
      <c r="P65" s="1">
        <v>0.8</v>
      </c>
      <c r="Q65" s="1">
        <v>18</v>
      </c>
      <c r="R65" s="1">
        <f t="shared" si="9"/>
        <v>0.72</v>
      </c>
      <c r="S65" s="1">
        <f t="shared" si="10"/>
        <v>0.04800000000000001</v>
      </c>
      <c r="T65" s="1">
        <f t="shared" si="11"/>
        <v>1.08</v>
      </c>
      <c r="U65" s="1" t="s">
        <v>14</v>
      </c>
      <c r="V65" s="1">
        <v>10.8</v>
      </c>
      <c r="W65" s="1">
        <f>$I$6</f>
        <v>100</v>
      </c>
      <c r="X65" s="1">
        <f t="shared" si="1"/>
        <v>10.8</v>
      </c>
      <c r="Y65" s="1">
        <v>12</v>
      </c>
      <c r="Z65" s="1">
        <v>0.8</v>
      </c>
      <c r="AA65" s="1">
        <v>18</v>
      </c>
      <c r="AB65" s="1">
        <f t="shared" si="12"/>
        <v>1.2960000000000003</v>
      </c>
      <c r="AC65" s="1">
        <f t="shared" si="13"/>
        <v>0.0864</v>
      </c>
      <c r="AD65" s="1">
        <f t="shared" si="14"/>
        <v>1.944</v>
      </c>
      <c r="AE65" s="1" t="s">
        <v>14</v>
      </c>
      <c r="AF65" s="1">
        <v>11</v>
      </c>
      <c r="AG65" s="1">
        <f>$I$6</f>
        <v>100</v>
      </c>
      <c r="AH65" s="1">
        <f t="shared" si="2"/>
        <v>11</v>
      </c>
      <c r="AI65" s="1">
        <v>12</v>
      </c>
      <c r="AJ65" s="1">
        <v>0.8</v>
      </c>
      <c r="AK65" s="1">
        <v>18</v>
      </c>
      <c r="AL65" s="1">
        <f t="shared" si="15"/>
        <v>1.32</v>
      </c>
      <c r="AM65" s="1">
        <f t="shared" si="16"/>
        <v>0.08800000000000001</v>
      </c>
      <c r="AN65" s="1">
        <f t="shared" si="17"/>
        <v>1.98</v>
      </c>
      <c r="AO65" s="1" t="s">
        <v>14</v>
      </c>
      <c r="AP65" s="1">
        <f>-0.46+0.047*C8</f>
        <v>8.94</v>
      </c>
      <c r="AQ65" s="1">
        <f>$I$6</f>
        <v>100</v>
      </c>
      <c r="AR65" s="1">
        <f t="shared" si="3"/>
        <v>8.94</v>
      </c>
      <c r="AS65" s="1">
        <v>12</v>
      </c>
      <c r="AT65" s="1">
        <v>0.8</v>
      </c>
      <c r="AU65" s="1">
        <v>18</v>
      </c>
      <c r="AV65" s="1">
        <f t="shared" si="18"/>
        <v>1.0728</v>
      </c>
      <c r="AW65" s="1">
        <f t="shared" si="19"/>
        <v>0.07152</v>
      </c>
      <c r="AX65" s="1">
        <f t="shared" si="20"/>
        <v>1.6092</v>
      </c>
      <c r="AY65" s="1" t="s">
        <v>14</v>
      </c>
      <c r="AZ65" s="1">
        <v>8.4</v>
      </c>
      <c r="BA65" s="1">
        <f>$I$6</f>
        <v>100</v>
      </c>
      <c r="BB65" s="1">
        <f t="shared" si="4"/>
        <v>8.4</v>
      </c>
      <c r="BC65" s="1">
        <v>12</v>
      </c>
      <c r="BD65" s="1">
        <v>0.8</v>
      </c>
      <c r="BE65" s="1">
        <v>18</v>
      </c>
      <c r="BF65" s="1">
        <f t="shared" si="21"/>
        <v>1.008</v>
      </c>
      <c r="BG65" s="1">
        <f t="shared" si="22"/>
        <v>0.06720000000000001</v>
      </c>
      <c r="BH65" s="1">
        <f t="shared" si="23"/>
        <v>1.5120000000000002</v>
      </c>
    </row>
    <row r="66" spans="1:60" ht="12.75">
      <c r="A66" s="1" t="s">
        <v>15</v>
      </c>
      <c r="B66" s="29">
        <v>7.86</v>
      </c>
      <c r="C66" s="1">
        <f>$I$7</f>
        <v>100</v>
      </c>
      <c r="D66" s="1">
        <f t="shared" si="5"/>
        <v>7.86</v>
      </c>
      <c r="E66" s="1">
        <v>11</v>
      </c>
      <c r="F66" s="1">
        <v>0.4</v>
      </c>
      <c r="G66" s="1">
        <v>10</v>
      </c>
      <c r="H66" s="1">
        <f t="shared" si="6"/>
        <v>0.8646</v>
      </c>
      <c r="I66" s="1">
        <f t="shared" si="7"/>
        <v>0.03144</v>
      </c>
      <c r="J66" s="2">
        <f t="shared" si="8"/>
        <v>0.786</v>
      </c>
      <c r="K66" s="2" t="s">
        <v>15</v>
      </c>
      <c r="L66" s="1">
        <v>13</v>
      </c>
      <c r="M66" s="1">
        <f>$I$7</f>
        <v>100</v>
      </c>
      <c r="N66" s="1">
        <f t="shared" si="0"/>
        <v>13</v>
      </c>
      <c r="O66" s="1">
        <v>11</v>
      </c>
      <c r="P66" s="1">
        <v>0.4</v>
      </c>
      <c r="Q66" s="1">
        <v>22</v>
      </c>
      <c r="R66" s="1">
        <f t="shared" si="9"/>
        <v>1.43</v>
      </c>
      <c r="S66" s="1">
        <f t="shared" si="10"/>
        <v>0.052000000000000005</v>
      </c>
      <c r="T66" s="1">
        <f t="shared" si="11"/>
        <v>2.86</v>
      </c>
      <c r="U66" s="1" t="s">
        <v>15</v>
      </c>
      <c r="V66" s="1">
        <v>16.45</v>
      </c>
      <c r="W66" s="1">
        <f>$I$7</f>
        <v>100</v>
      </c>
      <c r="X66" s="1">
        <f t="shared" si="1"/>
        <v>16.45</v>
      </c>
      <c r="Y66" s="1">
        <v>11</v>
      </c>
      <c r="Z66" s="1">
        <v>0.4</v>
      </c>
      <c r="AA66" s="1">
        <v>22</v>
      </c>
      <c r="AB66" s="1">
        <f t="shared" si="12"/>
        <v>1.8094999999999999</v>
      </c>
      <c r="AC66" s="1">
        <f t="shared" si="13"/>
        <v>0.0658</v>
      </c>
      <c r="AD66" s="1">
        <f t="shared" si="14"/>
        <v>3.6189999999999998</v>
      </c>
      <c r="AE66" s="1" t="s">
        <v>15</v>
      </c>
      <c r="AF66" s="1">
        <v>24.3</v>
      </c>
      <c r="AG66" s="1">
        <f>$I$7</f>
        <v>100</v>
      </c>
      <c r="AH66" s="1">
        <f t="shared" si="2"/>
        <v>24.3</v>
      </c>
      <c r="AI66" s="1">
        <v>11</v>
      </c>
      <c r="AJ66" s="1">
        <v>0.4</v>
      </c>
      <c r="AK66" s="1">
        <v>22</v>
      </c>
      <c r="AL66" s="1">
        <f t="shared" si="15"/>
        <v>2.673</v>
      </c>
      <c r="AM66" s="1">
        <f t="shared" si="16"/>
        <v>0.09720000000000001</v>
      </c>
      <c r="AN66" s="1">
        <f t="shared" si="17"/>
        <v>5.346</v>
      </c>
      <c r="AO66" s="1" t="s">
        <v>15</v>
      </c>
      <c r="AP66" s="1">
        <v>19</v>
      </c>
      <c r="AQ66" s="1">
        <f>$I$7</f>
        <v>100</v>
      </c>
      <c r="AR66" s="1">
        <f t="shared" si="3"/>
        <v>19</v>
      </c>
      <c r="AS66" s="1">
        <v>11</v>
      </c>
      <c r="AT66" s="1">
        <v>0.4</v>
      </c>
      <c r="AU66" s="1">
        <v>22</v>
      </c>
      <c r="AV66" s="1">
        <f t="shared" si="18"/>
        <v>2.09</v>
      </c>
      <c r="AW66" s="1">
        <f t="shared" si="19"/>
        <v>0.07600000000000001</v>
      </c>
      <c r="AX66" s="1">
        <f t="shared" si="20"/>
        <v>4.18</v>
      </c>
      <c r="AY66" s="1" t="s">
        <v>15</v>
      </c>
      <c r="AZ66" s="1">
        <v>17.5</v>
      </c>
      <c r="BA66" s="1">
        <f>$I$7</f>
        <v>100</v>
      </c>
      <c r="BB66" s="1">
        <f t="shared" si="4"/>
        <v>17.5</v>
      </c>
      <c r="BC66" s="1">
        <v>11</v>
      </c>
      <c r="BD66" s="1">
        <v>0.4</v>
      </c>
      <c r="BE66" s="1">
        <v>22</v>
      </c>
      <c r="BF66" s="1">
        <f t="shared" si="21"/>
        <v>1.925</v>
      </c>
      <c r="BG66" s="1">
        <f t="shared" si="22"/>
        <v>0.07</v>
      </c>
      <c r="BH66" s="1">
        <f t="shared" si="23"/>
        <v>3.85</v>
      </c>
    </row>
    <row r="67" spans="1:60" ht="12.75">
      <c r="A67" s="1" t="s">
        <v>16</v>
      </c>
      <c r="B67" s="29">
        <v>0.87</v>
      </c>
      <c r="C67" s="1">
        <f>$I$8</f>
        <v>100</v>
      </c>
      <c r="D67" s="1">
        <f t="shared" si="5"/>
        <v>0.87</v>
      </c>
      <c r="E67" s="1">
        <v>2</v>
      </c>
      <c r="F67" s="1">
        <v>0.1</v>
      </c>
      <c r="G67" s="1">
        <v>85</v>
      </c>
      <c r="H67" s="1">
        <f t="shared" si="6"/>
        <v>0.0174</v>
      </c>
      <c r="I67" s="1">
        <f t="shared" si="7"/>
        <v>0.0008700000000000001</v>
      </c>
      <c r="J67" s="2">
        <f t="shared" si="8"/>
        <v>0.7395</v>
      </c>
      <c r="K67" s="2" t="s">
        <v>16</v>
      </c>
      <c r="L67" s="1">
        <v>2</v>
      </c>
      <c r="M67" s="1">
        <f>$I$8</f>
        <v>100</v>
      </c>
      <c r="N67" s="1">
        <f t="shared" si="0"/>
        <v>2</v>
      </c>
      <c r="O67" s="1">
        <v>2</v>
      </c>
      <c r="P67" s="1">
        <v>0.1</v>
      </c>
      <c r="Q67" s="1">
        <v>89</v>
      </c>
      <c r="R67" s="1">
        <f t="shared" si="9"/>
        <v>0.04</v>
      </c>
      <c r="S67" s="1">
        <f t="shared" si="10"/>
        <v>0.002</v>
      </c>
      <c r="T67" s="1">
        <f t="shared" si="11"/>
        <v>1.78</v>
      </c>
      <c r="U67" s="1" t="s">
        <v>16</v>
      </c>
      <c r="V67" s="1">
        <f>2.2+0.008*C6</f>
        <v>4.4</v>
      </c>
      <c r="W67" s="1">
        <f>$I$8</f>
        <v>100</v>
      </c>
      <c r="X67" s="1">
        <f t="shared" si="1"/>
        <v>4.4</v>
      </c>
      <c r="Y67" s="1">
        <v>2</v>
      </c>
      <c r="Z67" s="1">
        <v>0.1</v>
      </c>
      <c r="AA67" s="1">
        <v>89</v>
      </c>
      <c r="AB67" s="1">
        <f t="shared" si="12"/>
        <v>0.08800000000000001</v>
      </c>
      <c r="AC67" s="1">
        <f t="shared" si="13"/>
        <v>0.0044</v>
      </c>
      <c r="AD67" s="1">
        <f t="shared" si="14"/>
        <v>3.9160000000000004</v>
      </c>
      <c r="AE67" s="1" t="s">
        <v>16</v>
      </c>
      <c r="AF67" s="1">
        <v>6.5</v>
      </c>
      <c r="AG67" s="1">
        <f>$I$8</f>
        <v>100</v>
      </c>
      <c r="AH67" s="1">
        <f t="shared" si="2"/>
        <v>6.5</v>
      </c>
      <c r="AI67" s="1">
        <v>2</v>
      </c>
      <c r="AJ67" s="1">
        <v>0.1</v>
      </c>
      <c r="AK67" s="1">
        <v>89</v>
      </c>
      <c r="AL67" s="1">
        <f t="shared" si="15"/>
        <v>0.13</v>
      </c>
      <c r="AM67" s="1">
        <f t="shared" si="16"/>
        <v>0.006500000000000001</v>
      </c>
      <c r="AN67" s="1">
        <f t="shared" si="17"/>
        <v>5.785</v>
      </c>
      <c r="AO67" s="1" t="s">
        <v>16</v>
      </c>
      <c r="AP67" s="1">
        <v>4.5</v>
      </c>
      <c r="AQ67" s="1">
        <f>$I$8</f>
        <v>100</v>
      </c>
      <c r="AR67" s="1">
        <f t="shared" si="3"/>
        <v>4.5</v>
      </c>
      <c r="AS67" s="1">
        <v>2</v>
      </c>
      <c r="AT67" s="1">
        <v>0.1</v>
      </c>
      <c r="AU67" s="1">
        <v>89</v>
      </c>
      <c r="AV67" s="1">
        <f t="shared" si="18"/>
        <v>0.09</v>
      </c>
      <c r="AW67" s="1">
        <f t="shared" si="19"/>
        <v>0.0045000000000000005</v>
      </c>
      <c r="AX67" s="1">
        <f t="shared" si="20"/>
        <v>4.005</v>
      </c>
      <c r="AY67" s="1" t="s">
        <v>16</v>
      </c>
      <c r="AZ67" s="1">
        <f>-1.06+0.005*C9</f>
        <v>0.43999999999999995</v>
      </c>
      <c r="BA67" s="1">
        <f>$I$8</f>
        <v>100</v>
      </c>
      <c r="BB67" s="1">
        <f t="shared" si="4"/>
        <v>0.43999999999999995</v>
      </c>
      <c r="BC67" s="1">
        <v>2</v>
      </c>
      <c r="BD67" s="1">
        <v>0.1</v>
      </c>
      <c r="BE67" s="1">
        <v>89</v>
      </c>
      <c r="BF67" s="1">
        <f t="shared" si="21"/>
        <v>0.008799999999999999</v>
      </c>
      <c r="BG67" s="1">
        <f t="shared" si="22"/>
        <v>0.00043999999999999996</v>
      </c>
      <c r="BH67" s="1">
        <f t="shared" si="23"/>
        <v>0.39159999999999995</v>
      </c>
    </row>
    <row r="68" spans="1:60" ht="12.75">
      <c r="A68" s="1" t="s">
        <v>29</v>
      </c>
      <c r="B68" s="29">
        <v>5</v>
      </c>
      <c r="C68" s="1">
        <f>$I$9</f>
        <v>100</v>
      </c>
      <c r="D68" s="1">
        <f t="shared" si="5"/>
        <v>5</v>
      </c>
      <c r="E68" s="1">
        <v>14</v>
      </c>
      <c r="F68" s="1">
        <v>0.7</v>
      </c>
      <c r="G68" s="1">
        <v>25</v>
      </c>
      <c r="H68" s="1">
        <f t="shared" si="6"/>
        <v>0.7</v>
      </c>
      <c r="I68" s="1">
        <f t="shared" si="7"/>
        <v>0.035</v>
      </c>
      <c r="J68" s="2">
        <f t="shared" si="8"/>
        <v>1.25</v>
      </c>
      <c r="K68" s="2" t="s">
        <v>29</v>
      </c>
      <c r="L68" s="1">
        <f>-12.77+0.145*C5</f>
        <v>13.329999999999998</v>
      </c>
      <c r="M68" s="1">
        <f>$I$9</f>
        <v>100</v>
      </c>
      <c r="N68" s="1">
        <f t="shared" si="0"/>
        <v>13.329999999999998</v>
      </c>
      <c r="O68" s="1">
        <v>10</v>
      </c>
      <c r="P68" s="1">
        <v>0.7</v>
      </c>
      <c r="Q68" s="1">
        <v>55</v>
      </c>
      <c r="R68" s="1">
        <f t="shared" si="9"/>
        <v>1.3329999999999997</v>
      </c>
      <c r="S68" s="1">
        <f t="shared" si="10"/>
        <v>0.09330999999999998</v>
      </c>
      <c r="T68" s="1">
        <f t="shared" si="11"/>
        <v>7.331499999999998</v>
      </c>
      <c r="U68" s="1" t="s">
        <v>17</v>
      </c>
      <c r="V68" s="1">
        <f>-18+0.147*C6</f>
        <v>22.424999999999997</v>
      </c>
      <c r="W68" s="1">
        <f>$I$9</f>
        <v>100</v>
      </c>
      <c r="X68" s="1">
        <f t="shared" si="1"/>
        <v>22.424999999999997</v>
      </c>
      <c r="Y68" s="1">
        <v>6</v>
      </c>
      <c r="Z68" s="1">
        <v>0.7</v>
      </c>
      <c r="AA68" s="1">
        <v>65</v>
      </c>
      <c r="AB68" s="1">
        <f t="shared" si="12"/>
        <v>1.3455</v>
      </c>
      <c r="AC68" s="1">
        <f t="shared" si="13"/>
        <v>0.15697499999999998</v>
      </c>
      <c r="AD68" s="1">
        <f t="shared" si="14"/>
        <v>14.576249999999998</v>
      </c>
      <c r="AE68" s="1" t="s">
        <v>17</v>
      </c>
      <c r="AF68" s="1">
        <f>-29.7+0.2*C7</f>
        <v>46.3</v>
      </c>
      <c r="AG68" s="1">
        <f>$I$9</f>
        <v>100</v>
      </c>
      <c r="AH68" s="1">
        <f t="shared" si="2"/>
        <v>46.3</v>
      </c>
      <c r="AI68" s="1">
        <v>6</v>
      </c>
      <c r="AJ68" s="1">
        <v>0.7</v>
      </c>
      <c r="AK68" s="1">
        <v>68</v>
      </c>
      <c r="AL68" s="1">
        <f t="shared" si="15"/>
        <v>2.7779999999999996</v>
      </c>
      <c r="AM68" s="1">
        <f t="shared" si="16"/>
        <v>0.32409999999999994</v>
      </c>
      <c r="AN68" s="1">
        <f t="shared" si="17"/>
        <v>31.483999999999995</v>
      </c>
      <c r="AO68" s="1" t="s">
        <v>17</v>
      </c>
      <c r="AP68" s="1">
        <f>-12.9+0.127*C8</f>
        <v>12.499999999999998</v>
      </c>
      <c r="AQ68" s="1">
        <f>$I$9</f>
        <v>100</v>
      </c>
      <c r="AR68" s="1">
        <f t="shared" si="3"/>
        <v>12.499999999999998</v>
      </c>
      <c r="AS68" s="1">
        <v>6</v>
      </c>
      <c r="AT68" s="1">
        <v>0.7</v>
      </c>
      <c r="AU68" s="1">
        <v>65</v>
      </c>
      <c r="AV68" s="1">
        <f t="shared" si="18"/>
        <v>0.7499999999999999</v>
      </c>
      <c r="AW68" s="1">
        <f t="shared" si="19"/>
        <v>0.08749999999999998</v>
      </c>
      <c r="AX68" s="1">
        <f t="shared" si="20"/>
        <v>8.124999999999998</v>
      </c>
      <c r="AY68" s="1" t="s">
        <v>17</v>
      </c>
      <c r="AZ68" s="1">
        <v>10.4</v>
      </c>
      <c r="BA68" s="1">
        <f>$I$9</f>
        <v>100</v>
      </c>
      <c r="BB68" s="1">
        <f t="shared" si="4"/>
        <v>10.4</v>
      </c>
      <c r="BC68" s="1">
        <v>6</v>
      </c>
      <c r="BD68" s="1">
        <v>0.7</v>
      </c>
      <c r="BE68" s="1">
        <v>65</v>
      </c>
      <c r="BF68" s="1">
        <f t="shared" si="21"/>
        <v>0.6240000000000001</v>
      </c>
      <c r="BG68" s="1">
        <f t="shared" si="22"/>
        <v>0.07279999999999999</v>
      </c>
      <c r="BH68" s="1">
        <f t="shared" si="23"/>
        <v>6.76</v>
      </c>
    </row>
    <row r="69" spans="8:60" ht="12.75">
      <c r="H69" s="1">
        <f>SUM(H52:H68)</f>
        <v>3.2180099999999996</v>
      </c>
      <c r="I69" s="1">
        <f>SUM(I52:I68)</f>
        <v>0.20747500000000002</v>
      </c>
      <c r="J69" s="2">
        <f>SUM(J52:J68)</f>
        <v>3.925</v>
      </c>
      <c r="R69" s="1">
        <f>SUM(R52:R68)</f>
        <v>5.094859</v>
      </c>
      <c r="S69" s="1">
        <f>SUM(S52:S68)</f>
        <v>0.348268</v>
      </c>
      <c r="T69" s="1">
        <f>SUM(T52:T68)</f>
        <v>13.902683</v>
      </c>
      <c r="AB69" s="1">
        <f>SUM(AB52:AB68)</f>
        <v>6.618842500000001</v>
      </c>
      <c r="AC69" s="1">
        <f>SUM(AC52:AC68)</f>
        <v>0.5106189999999999</v>
      </c>
      <c r="AD69" s="1">
        <f>SUM(AD52:AD68)</f>
        <v>25.134494999999998</v>
      </c>
      <c r="AL69" s="1">
        <f>SUM(AL52:AL68)</f>
        <v>9.386249</v>
      </c>
      <c r="AM69" s="1">
        <f>SUM(AM52:AM68)</f>
        <v>0.7591829999999999</v>
      </c>
      <c r="AN69" s="1">
        <f>SUM(AN52:AN68)</f>
        <v>46.235698</v>
      </c>
      <c r="AV69" s="1">
        <f>SUM(AV52:AV68)</f>
        <v>6.005202</v>
      </c>
      <c r="AW69" s="1">
        <f>SUM(AW52:AW68)</f>
        <v>0.435037</v>
      </c>
      <c r="AX69" s="1">
        <f>SUM(AX52:AX68)</f>
        <v>19.164879999999997</v>
      </c>
      <c r="BF69" s="1">
        <f>SUM(BF52:BF68)</f>
        <v>5.8277</v>
      </c>
      <c r="BG69" s="1">
        <f>SUM(BG52:BG68)</f>
        <v>0.43597</v>
      </c>
      <c r="BH69" s="1">
        <f>SUM(BH52:BH68)</f>
        <v>13.9364</v>
      </c>
    </row>
    <row r="70" spans="1:60" ht="12.75">
      <c r="A70" s="1" t="s">
        <v>5</v>
      </c>
      <c r="B70" s="29">
        <f>2.14+(0.68+0.0195*C4)</f>
        <v>4.77</v>
      </c>
      <c r="C70" s="1">
        <f>$I$10</f>
        <v>100</v>
      </c>
      <c r="D70" s="1">
        <f>B70*C70/100</f>
        <v>4.77</v>
      </c>
      <c r="E70" s="1">
        <v>25</v>
      </c>
      <c r="F70" s="1">
        <v>17</v>
      </c>
      <c r="G70" s="1">
        <v>8</v>
      </c>
      <c r="H70" s="1">
        <f>D70*E70/100</f>
        <v>1.1925</v>
      </c>
      <c r="I70" s="1">
        <f>D70*F70/100</f>
        <v>0.8108999999999998</v>
      </c>
      <c r="J70" s="2">
        <f t="shared" si="8"/>
        <v>0.38159999999999994</v>
      </c>
      <c r="K70" s="2" t="s">
        <v>5</v>
      </c>
      <c r="L70" s="1">
        <f>(0.303+0.014*C5)+(1.46+0.0123*C5)</f>
        <v>6.497</v>
      </c>
      <c r="M70" s="1">
        <f>$I$10</f>
        <v>100</v>
      </c>
      <c r="N70" s="1">
        <f>L70*M70/100</f>
        <v>6.497000000000001</v>
      </c>
      <c r="O70" s="1">
        <v>25</v>
      </c>
      <c r="P70" s="1">
        <v>17</v>
      </c>
      <c r="Q70" s="1">
        <v>9</v>
      </c>
      <c r="R70" s="1">
        <f>N70*O70/100</f>
        <v>1.6242500000000002</v>
      </c>
      <c r="S70" s="1">
        <f>N70*P70/100</f>
        <v>1.1044900000000002</v>
      </c>
      <c r="T70" s="1">
        <f t="shared" si="11"/>
        <v>0.5847300000000001</v>
      </c>
      <c r="U70" s="1" t="s">
        <v>5</v>
      </c>
      <c r="V70" s="1">
        <f>(1.66+0.0083*C6)+(2.54+0.006*C6)</f>
        <v>8.1325</v>
      </c>
      <c r="W70" s="1">
        <f>$I$10</f>
        <v>100</v>
      </c>
      <c r="X70" s="1">
        <f>V70*W70/100</f>
        <v>8.1325</v>
      </c>
      <c r="Y70" s="1">
        <v>25</v>
      </c>
      <c r="Z70" s="1">
        <v>17</v>
      </c>
      <c r="AA70" s="1">
        <v>9</v>
      </c>
      <c r="AB70" s="1">
        <f>X70*Y70/100</f>
        <v>2.033125</v>
      </c>
      <c r="AC70" s="1">
        <f>X70*Z70/100</f>
        <v>1.382525</v>
      </c>
      <c r="AD70" s="1">
        <f t="shared" si="14"/>
        <v>0.7319249999999999</v>
      </c>
      <c r="AE70" s="1" t="s">
        <v>5</v>
      </c>
      <c r="AF70" s="1">
        <f>3.7+(2.31+0.0054*C7)</f>
        <v>8.062000000000001</v>
      </c>
      <c r="AG70" s="1">
        <f>$I$10</f>
        <v>100</v>
      </c>
      <c r="AH70" s="1">
        <f>AF70*AG70/100</f>
        <v>8.062000000000001</v>
      </c>
      <c r="AI70" s="1">
        <v>25</v>
      </c>
      <c r="AJ70" s="1">
        <v>17</v>
      </c>
      <c r="AK70" s="1">
        <v>9</v>
      </c>
      <c r="AL70" s="1">
        <f>AH70*AI70/100</f>
        <v>2.0155000000000003</v>
      </c>
      <c r="AM70" s="1">
        <f>AH70*AJ70/100</f>
        <v>1.3705400000000003</v>
      </c>
      <c r="AN70" s="1">
        <f t="shared" si="17"/>
        <v>0.7255800000000001</v>
      </c>
      <c r="AO70" s="1" t="s">
        <v>5</v>
      </c>
      <c r="AP70" s="1">
        <f>(1.91+0.0094*C8)+(1.26+0.012*C8)</f>
        <v>7.45</v>
      </c>
      <c r="AQ70" s="1">
        <f>$I$10</f>
        <v>100</v>
      </c>
      <c r="AR70" s="1">
        <f>AP70*AQ70/100</f>
        <v>7.45</v>
      </c>
      <c r="AS70" s="1">
        <v>25</v>
      </c>
      <c r="AT70" s="1">
        <v>17</v>
      </c>
      <c r="AU70" s="1">
        <v>9</v>
      </c>
      <c r="AV70" s="1">
        <f>AR70*AS70/100</f>
        <v>1.8625</v>
      </c>
      <c r="AW70" s="1">
        <f>AR70*AT70/100</f>
        <v>1.2665</v>
      </c>
      <c r="AX70" s="1">
        <f t="shared" si="20"/>
        <v>0.6705</v>
      </c>
      <c r="AY70" s="1" t="s">
        <v>5</v>
      </c>
      <c r="AZ70" s="1">
        <v>10.1</v>
      </c>
      <c r="BA70" s="1">
        <f>$I$10</f>
        <v>100</v>
      </c>
      <c r="BB70" s="1">
        <f>AZ70*BA70/100</f>
        <v>10.1</v>
      </c>
      <c r="BC70" s="1">
        <v>25</v>
      </c>
      <c r="BD70" s="1">
        <v>17</v>
      </c>
      <c r="BE70" s="1">
        <v>9</v>
      </c>
      <c r="BF70" s="1">
        <f>BB70*BC70/100</f>
        <v>2.525</v>
      </c>
      <c r="BG70" s="1">
        <f>BB70*BD70/100</f>
        <v>1.7169999999999999</v>
      </c>
      <c r="BH70" s="1">
        <f t="shared" si="23"/>
        <v>0.9089999999999999</v>
      </c>
    </row>
    <row r="71" spans="1:60" ht="12.75">
      <c r="A71" s="1" t="s">
        <v>18</v>
      </c>
      <c r="B71" s="29">
        <v>0.36</v>
      </c>
      <c r="C71" s="1">
        <f>$I$11</f>
        <v>10</v>
      </c>
      <c r="D71" s="1">
        <f>B71*C71/100</f>
        <v>0.036</v>
      </c>
      <c r="E71" s="1">
        <v>15</v>
      </c>
      <c r="F71" s="1">
        <v>5</v>
      </c>
      <c r="G71" s="1">
        <v>15</v>
      </c>
      <c r="H71" s="1">
        <f>D71*E71/100</f>
        <v>0.005399999999999999</v>
      </c>
      <c r="I71" s="1">
        <f>D71*F71/100</f>
        <v>0.0018</v>
      </c>
      <c r="J71" s="2">
        <f t="shared" si="8"/>
        <v>0.005399999999999999</v>
      </c>
      <c r="K71" s="2" t="s">
        <v>18</v>
      </c>
      <c r="L71" s="1">
        <f>0.075+0.0037*C5</f>
        <v>0.741</v>
      </c>
      <c r="M71" s="1">
        <f>$I$11</f>
        <v>10</v>
      </c>
      <c r="N71" s="1">
        <f>L71*M71/100</f>
        <v>0.0741</v>
      </c>
      <c r="O71" s="1">
        <v>14</v>
      </c>
      <c r="P71" s="1">
        <v>5</v>
      </c>
      <c r="Q71" s="1">
        <v>15</v>
      </c>
      <c r="R71" s="1">
        <f>N71*O71/100</f>
        <v>0.010374</v>
      </c>
      <c r="S71" s="1">
        <f>N71*P71/100</f>
        <v>0.003705</v>
      </c>
      <c r="T71" s="1">
        <f t="shared" si="11"/>
        <v>0.011115</v>
      </c>
      <c r="U71" s="1" t="s">
        <v>18</v>
      </c>
      <c r="V71" s="1">
        <f>0.27+0.0024*C6</f>
        <v>0.9299999999999999</v>
      </c>
      <c r="W71" s="1">
        <f>$I$11</f>
        <v>10</v>
      </c>
      <c r="X71" s="1">
        <f>V71*W71/100</f>
        <v>0.09299999999999999</v>
      </c>
      <c r="Y71" s="1">
        <v>14</v>
      </c>
      <c r="Z71" s="1">
        <v>5</v>
      </c>
      <c r="AA71" s="1">
        <v>15</v>
      </c>
      <c r="AB71" s="1">
        <f>X71*Y71/100</f>
        <v>0.013019999999999999</v>
      </c>
      <c r="AC71" s="1">
        <f>X71*Z71/100</f>
        <v>0.004649999999999999</v>
      </c>
      <c r="AD71" s="1">
        <f t="shared" si="14"/>
        <v>0.013949999999999997</v>
      </c>
      <c r="AE71" s="1" t="s">
        <v>18</v>
      </c>
      <c r="AF71" s="1">
        <v>1.3</v>
      </c>
      <c r="AG71" s="1">
        <f>$I$11</f>
        <v>10</v>
      </c>
      <c r="AH71" s="1">
        <f>AF71*AG71/100</f>
        <v>0.13</v>
      </c>
      <c r="AI71" s="1">
        <v>14</v>
      </c>
      <c r="AJ71" s="1">
        <v>5</v>
      </c>
      <c r="AK71" s="1">
        <v>15</v>
      </c>
      <c r="AL71" s="1">
        <f>AH71*AI71/100</f>
        <v>0.0182</v>
      </c>
      <c r="AM71" s="1">
        <f>AH71*AJ71/100</f>
        <v>0.006500000000000001</v>
      </c>
      <c r="AN71" s="1">
        <f t="shared" si="17"/>
        <v>0.019500000000000003</v>
      </c>
      <c r="AO71" s="1" t="s">
        <v>18</v>
      </c>
      <c r="AP71" s="1">
        <f>0.37+0.0018*C8</f>
        <v>0.73</v>
      </c>
      <c r="AQ71" s="1">
        <f>$I$11</f>
        <v>10</v>
      </c>
      <c r="AR71" s="1">
        <f>AP71*AQ71/100</f>
        <v>0.073</v>
      </c>
      <c r="AS71" s="1">
        <v>14</v>
      </c>
      <c r="AT71" s="1">
        <v>5</v>
      </c>
      <c r="AU71" s="1">
        <v>15</v>
      </c>
      <c r="AV71" s="1">
        <f>AR71*AS71/100</f>
        <v>0.01022</v>
      </c>
      <c r="AW71" s="1">
        <f>AR71*AT71/100</f>
        <v>0.00365</v>
      </c>
      <c r="AX71" s="1">
        <f t="shared" si="20"/>
        <v>0.01095</v>
      </c>
      <c r="AY71" s="1" t="s">
        <v>18</v>
      </c>
      <c r="AZ71" s="1">
        <v>1</v>
      </c>
      <c r="BA71" s="1">
        <f>$I$11</f>
        <v>10</v>
      </c>
      <c r="BB71" s="1">
        <f>AZ71*BA71/100</f>
        <v>0.1</v>
      </c>
      <c r="BC71" s="1">
        <v>14</v>
      </c>
      <c r="BD71" s="1">
        <v>5</v>
      </c>
      <c r="BE71" s="1">
        <v>15</v>
      </c>
      <c r="BF71" s="1">
        <f>BB71*BC71/100</f>
        <v>0.014000000000000002</v>
      </c>
      <c r="BG71" s="1">
        <f>BB71*BD71/100</f>
        <v>0.005</v>
      </c>
      <c r="BH71" s="1">
        <f t="shared" si="23"/>
        <v>0.015</v>
      </c>
    </row>
    <row r="72" spans="1:60" ht="12.75">
      <c r="A72" s="1" t="s">
        <v>1</v>
      </c>
      <c r="B72" s="29">
        <f>3.6+0.0156*C4</f>
        <v>5.16</v>
      </c>
      <c r="C72" s="1">
        <f>$I$12</f>
        <v>100</v>
      </c>
      <c r="D72" s="1">
        <f>B72*C72/100</f>
        <v>5.16</v>
      </c>
      <c r="E72" s="1">
        <v>20</v>
      </c>
      <c r="F72" s="1">
        <v>24</v>
      </c>
      <c r="G72" s="1">
        <v>10</v>
      </c>
      <c r="H72" s="1">
        <f>D72*E72/100</f>
        <v>1.032</v>
      </c>
      <c r="I72" s="1">
        <f>D72*F72/100</f>
        <v>1.2384</v>
      </c>
      <c r="J72" s="2">
        <f t="shared" si="8"/>
        <v>0.516</v>
      </c>
      <c r="K72" s="2" t="s">
        <v>1</v>
      </c>
      <c r="L72" s="1">
        <f>2.42+0.029*C5</f>
        <v>7.640000000000001</v>
      </c>
      <c r="M72" s="1">
        <f>$I$12</f>
        <v>100</v>
      </c>
      <c r="N72" s="1">
        <f>L72*M72/100</f>
        <v>7.64</v>
      </c>
      <c r="O72" s="1">
        <v>20</v>
      </c>
      <c r="P72" s="1">
        <v>24</v>
      </c>
      <c r="Q72" s="1">
        <v>12</v>
      </c>
      <c r="R72" s="1">
        <f>N72*O72/100</f>
        <v>1.5279999999999998</v>
      </c>
      <c r="S72" s="1">
        <f>N72*P72/100</f>
        <v>1.8336</v>
      </c>
      <c r="T72" s="1">
        <f t="shared" si="11"/>
        <v>0.9168</v>
      </c>
      <c r="U72" s="1" t="s">
        <v>1</v>
      </c>
      <c r="V72" s="1">
        <v>11.6</v>
      </c>
      <c r="W72" s="1">
        <f>$I$12</f>
        <v>100</v>
      </c>
      <c r="X72" s="1">
        <f>V72*W72/100</f>
        <v>11.6</v>
      </c>
      <c r="Y72" s="1">
        <v>20</v>
      </c>
      <c r="Z72" s="1">
        <v>24</v>
      </c>
      <c r="AA72" s="1">
        <v>12</v>
      </c>
      <c r="AB72" s="1">
        <f>X72*Y72/100</f>
        <v>2.32</v>
      </c>
      <c r="AC72" s="1">
        <f>X72*Z72/100</f>
        <v>2.784</v>
      </c>
      <c r="AD72" s="1">
        <f t="shared" si="14"/>
        <v>1.392</v>
      </c>
      <c r="AE72" s="1" t="s">
        <v>1</v>
      </c>
      <c r="AF72" s="1">
        <f>8.5+0.008*C7</f>
        <v>11.54</v>
      </c>
      <c r="AG72" s="1">
        <f>$I$12</f>
        <v>100</v>
      </c>
      <c r="AH72" s="1">
        <f>AF72*AG72/100</f>
        <v>11.54</v>
      </c>
      <c r="AI72" s="1">
        <v>20</v>
      </c>
      <c r="AJ72" s="1">
        <v>24</v>
      </c>
      <c r="AK72" s="1">
        <v>12</v>
      </c>
      <c r="AL72" s="1">
        <f>AH72*AI72/100</f>
        <v>2.308</v>
      </c>
      <c r="AM72" s="1">
        <f>AH72*AJ72/100</f>
        <v>2.7695999999999996</v>
      </c>
      <c r="AN72" s="1">
        <f t="shared" si="17"/>
        <v>1.3847999999999998</v>
      </c>
      <c r="AO72" s="1" t="s">
        <v>1</v>
      </c>
      <c r="AP72" s="1">
        <f>7.8+0.0066*C8</f>
        <v>9.12</v>
      </c>
      <c r="AQ72" s="1">
        <f>$I$12</f>
        <v>100</v>
      </c>
      <c r="AR72" s="1">
        <f>AP72*AQ72/100</f>
        <v>9.12</v>
      </c>
      <c r="AS72" s="1">
        <v>20</v>
      </c>
      <c r="AT72" s="1">
        <v>24</v>
      </c>
      <c r="AU72" s="1">
        <v>12</v>
      </c>
      <c r="AV72" s="1">
        <f>AR72*AS72/100</f>
        <v>1.8239999999999998</v>
      </c>
      <c r="AW72" s="1">
        <f>AR72*AT72/100</f>
        <v>2.1888</v>
      </c>
      <c r="AX72" s="1">
        <f t="shared" si="20"/>
        <v>1.0944</v>
      </c>
      <c r="AY72" s="1" t="s">
        <v>1</v>
      </c>
      <c r="AZ72" s="1">
        <f>5.95+0.027*C9</f>
        <v>14.05</v>
      </c>
      <c r="BA72" s="1">
        <f>$I$12</f>
        <v>100</v>
      </c>
      <c r="BB72" s="1">
        <f>AZ72*BA72/100</f>
        <v>14.05</v>
      </c>
      <c r="BC72" s="1">
        <v>20</v>
      </c>
      <c r="BD72" s="1">
        <v>24</v>
      </c>
      <c r="BE72" s="1">
        <v>12</v>
      </c>
      <c r="BF72" s="1">
        <f>BB72*BC72/100</f>
        <v>2.81</v>
      </c>
      <c r="BG72" s="1">
        <f>BB72*BD72/100</f>
        <v>3.3720000000000003</v>
      </c>
      <c r="BH72" s="1">
        <f t="shared" si="23"/>
        <v>1.6860000000000002</v>
      </c>
    </row>
    <row r="73" spans="8:60" ht="12.75">
      <c r="H73" s="1">
        <f>SUM(H70:H72)</f>
        <v>2.2298999999999998</v>
      </c>
      <c r="I73" s="1">
        <f>SUM(I70:I72)</f>
        <v>2.0511</v>
      </c>
      <c r="J73" s="2">
        <f>SUM(J70:J72)</f>
        <v>0.903</v>
      </c>
      <c r="R73" s="1">
        <f>SUM(R70:R72)</f>
        <v>3.162624</v>
      </c>
      <c r="S73" s="1">
        <f>SUM(S70:S72)</f>
        <v>2.941795</v>
      </c>
      <c r="T73" s="1">
        <f>SUM(T70:T72)</f>
        <v>1.512645</v>
      </c>
      <c r="AB73" s="1">
        <f>SUM(AB70:AB72)</f>
        <v>4.3661449999999995</v>
      </c>
      <c r="AC73" s="1">
        <f>SUM(AC70:AC72)</f>
        <v>4.171175</v>
      </c>
      <c r="AD73" s="1">
        <f>SUM(AD70:AD72)</f>
        <v>2.1378749999999997</v>
      </c>
      <c r="AL73" s="1">
        <f>SUM(AL70:AL72)</f>
        <v>4.3417</v>
      </c>
      <c r="AM73" s="1">
        <f>SUM(AM70:AM72)</f>
        <v>4.14664</v>
      </c>
      <c r="AN73" s="1">
        <f>SUM(AN70:AN72)</f>
        <v>2.12988</v>
      </c>
      <c r="AV73" s="1">
        <f>SUM(AV70:AV72)</f>
        <v>3.69672</v>
      </c>
      <c r="AW73" s="1">
        <f>SUM(AW70:AW72)</f>
        <v>3.4589499999999997</v>
      </c>
      <c r="AX73" s="1">
        <f>SUM(AX70:AX72)</f>
        <v>1.7758500000000002</v>
      </c>
      <c r="BF73" s="1">
        <f>SUM(BF70:BF72)</f>
        <v>5.349</v>
      </c>
      <c r="BG73" s="1">
        <f>SUM(BG70:BG72)</f>
        <v>5.094</v>
      </c>
      <c r="BH73" s="1">
        <f>SUM(BH70:BH72)</f>
        <v>2.6100000000000003</v>
      </c>
    </row>
    <row r="74" spans="1:60" ht="12.75">
      <c r="A74" s="1" t="s">
        <v>20</v>
      </c>
      <c r="B74" s="29">
        <f>28*C4/100</f>
        <v>28</v>
      </c>
      <c r="C74" s="1">
        <f>$I$13</f>
        <v>100</v>
      </c>
      <c r="D74" s="1">
        <f>B74*C74/100</f>
        <v>28</v>
      </c>
      <c r="E74" s="1">
        <v>22</v>
      </c>
      <c r="F74" s="1">
        <v>21</v>
      </c>
      <c r="G74" s="1">
        <v>15</v>
      </c>
      <c r="H74" s="1">
        <f>D74*E74/100</f>
        <v>6.16</v>
      </c>
      <c r="I74" s="1">
        <f>D74*F74/100</f>
        <v>5.88</v>
      </c>
      <c r="J74" s="2">
        <f t="shared" si="8"/>
        <v>4.2</v>
      </c>
      <c r="K74" s="2" t="s">
        <v>20</v>
      </c>
      <c r="L74" s="1">
        <f>20*C5/100</f>
        <v>36</v>
      </c>
      <c r="M74" s="1">
        <f>$I$13</f>
        <v>100</v>
      </c>
      <c r="N74" s="1">
        <f>L74*M74/100</f>
        <v>36</v>
      </c>
      <c r="O74" s="1">
        <v>22</v>
      </c>
      <c r="P74" s="1">
        <v>22</v>
      </c>
      <c r="Q74" s="1">
        <v>20</v>
      </c>
      <c r="R74" s="1">
        <f>N74*O74/100</f>
        <v>7.92</v>
      </c>
      <c r="S74" s="1">
        <f>N74*P74/100</f>
        <v>7.92</v>
      </c>
      <c r="T74" s="1">
        <f t="shared" si="11"/>
        <v>7.2</v>
      </c>
      <c r="U74" s="1" t="s">
        <v>20</v>
      </c>
      <c r="V74" s="1">
        <f>19*C6/100</f>
        <v>52.25</v>
      </c>
      <c r="W74" s="1">
        <f>$I$13</f>
        <v>100</v>
      </c>
      <c r="X74" s="1">
        <f>V74*W74/100</f>
        <v>52.25</v>
      </c>
      <c r="Y74" s="1">
        <v>22</v>
      </c>
      <c r="Z74" s="1">
        <v>22</v>
      </c>
      <c r="AA74" s="1">
        <v>22</v>
      </c>
      <c r="AB74" s="1">
        <f>X74*Y74/100</f>
        <v>11.495</v>
      </c>
      <c r="AC74" s="1">
        <f>X74*Z74/100</f>
        <v>11.495</v>
      </c>
      <c r="AD74" s="1">
        <f t="shared" si="14"/>
        <v>11.495</v>
      </c>
      <c r="AE74" s="1" t="s">
        <v>20</v>
      </c>
      <c r="AF74" s="1">
        <f>17*C7/100</f>
        <v>64.6</v>
      </c>
      <c r="AG74" s="1">
        <f>$I$13</f>
        <v>100</v>
      </c>
      <c r="AH74" s="1">
        <f>AF74*AG74/100</f>
        <v>64.6</v>
      </c>
      <c r="AI74" s="1">
        <v>20</v>
      </c>
      <c r="AJ74" s="1">
        <v>22</v>
      </c>
      <c r="AK74" s="1">
        <v>25</v>
      </c>
      <c r="AL74" s="1">
        <f>AH74*AI74/100</f>
        <v>12.92</v>
      </c>
      <c r="AM74" s="1">
        <f>AH74*AJ74/100</f>
        <v>14.211999999999998</v>
      </c>
      <c r="AN74" s="1">
        <f t="shared" si="17"/>
        <v>16.15</v>
      </c>
      <c r="AO74" s="1" t="s">
        <v>20</v>
      </c>
      <c r="AP74" s="1">
        <f>20*C8/100</f>
        <v>40</v>
      </c>
      <c r="AQ74" s="1">
        <f>$I$13</f>
        <v>100</v>
      </c>
      <c r="AR74" s="1">
        <f>AP74*AQ74/100</f>
        <v>40</v>
      </c>
      <c r="AS74" s="1">
        <v>20</v>
      </c>
      <c r="AT74" s="1">
        <v>22</v>
      </c>
      <c r="AU74" s="1">
        <v>23</v>
      </c>
      <c r="AV74" s="1">
        <f>AR74*AS74/100</f>
        <v>8</v>
      </c>
      <c r="AW74" s="1">
        <f>AR74*AT74/100</f>
        <v>8.8</v>
      </c>
      <c r="AX74" s="1">
        <f t="shared" si="20"/>
        <v>9.2</v>
      </c>
      <c r="AY74" s="1" t="s">
        <v>20</v>
      </c>
      <c r="AZ74" s="1">
        <f>20*C9/100</f>
        <v>60</v>
      </c>
      <c r="BA74" s="1">
        <f>$I$13</f>
        <v>100</v>
      </c>
      <c r="BB74" s="1">
        <f>AZ74*BA74/100</f>
        <v>60</v>
      </c>
      <c r="BC74" s="1">
        <v>22</v>
      </c>
      <c r="BD74" s="1">
        <v>23</v>
      </c>
      <c r="BE74" s="1">
        <v>18</v>
      </c>
      <c r="BF74" s="1">
        <f>BB74*BC74/100</f>
        <v>13.2</v>
      </c>
      <c r="BG74" s="1">
        <f>BB74*BD74/100</f>
        <v>13.8</v>
      </c>
      <c r="BH74" s="1">
        <f t="shared" si="23"/>
        <v>10.8</v>
      </c>
    </row>
    <row r="75" spans="1:60" ht="12.75">
      <c r="A75" s="1" t="s">
        <v>19</v>
      </c>
      <c r="B75" s="29">
        <f>5*C4/100</f>
        <v>5</v>
      </c>
      <c r="C75" s="1">
        <f>$I$14</f>
        <v>100</v>
      </c>
      <c r="D75" s="1">
        <f>B75*C75/100</f>
        <v>5</v>
      </c>
      <c r="E75" s="1">
        <v>18</v>
      </c>
      <c r="F75" s="1">
        <v>1</v>
      </c>
      <c r="G75" s="1">
        <v>20</v>
      </c>
      <c r="H75" s="1">
        <f>D75*E75/100</f>
        <v>0.9</v>
      </c>
      <c r="I75" s="1">
        <f>D75*F75/100</f>
        <v>0.05</v>
      </c>
      <c r="J75" s="2">
        <f t="shared" si="8"/>
        <v>1</v>
      </c>
      <c r="K75" s="2" t="s">
        <v>19</v>
      </c>
      <c r="L75" s="1">
        <f>10*C5/100</f>
        <v>18</v>
      </c>
      <c r="M75" s="1">
        <f>$I$14</f>
        <v>100</v>
      </c>
      <c r="N75" s="1">
        <f>L75*M75/100</f>
        <v>18</v>
      </c>
      <c r="O75" s="1">
        <v>9</v>
      </c>
      <c r="P75" s="1">
        <v>0.5</v>
      </c>
      <c r="Q75" s="1">
        <v>65</v>
      </c>
      <c r="R75" s="1">
        <f>N75*O75/100</f>
        <v>1.62</v>
      </c>
      <c r="S75" s="1">
        <f>N75*P75/100</f>
        <v>0.09</v>
      </c>
      <c r="T75" s="1">
        <f t="shared" si="11"/>
        <v>11.7</v>
      </c>
      <c r="U75" s="1" t="s">
        <v>19</v>
      </c>
      <c r="V75" s="1">
        <f>12*C6/100</f>
        <v>33</v>
      </c>
      <c r="W75" s="1">
        <f>$I$14</f>
        <v>100</v>
      </c>
      <c r="X75" s="1">
        <f>V75*W75/100</f>
        <v>33</v>
      </c>
      <c r="Y75" s="1">
        <v>8</v>
      </c>
      <c r="Z75" s="1">
        <v>0.5</v>
      </c>
      <c r="AA75" s="1">
        <v>67</v>
      </c>
      <c r="AB75" s="1">
        <f>X75*Y75/100</f>
        <v>2.64</v>
      </c>
      <c r="AC75" s="1">
        <f>X75*Z75/100</f>
        <v>0.165</v>
      </c>
      <c r="AD75" s="1">
        <f t="shared" si="14"/>
        <v>22.11</v>
      </c>
      <c r="AE75" s="1" t="s">
        <v>19</v>
      </c>
      <c r="AF75" s="1">
        <f>20*C7/100</f>
        <v>76</v>
      </c>
      <c r="AG75" s="1">
        <f>$I$14</f>
        <v>100</v>
      </c>
      <c r="AH75" s="1">
        <f>AF75*AG75/100</f>
        <v>76</v>
      </c>
      <c r="AI75" s="1">
        <v>8</v>
      </c>
      <c r="AJ75" s="1">
        <v>0.5</v>
      </c>
      <c r="AK75" s="1">
        <v>70</v>
      </c>
      <c r="AL75" s="1">
        <f>AH75*AI75/100</f>
        <v>6.08</v>
      </c>
      <c r="AM75" s="1">
        <f>AH75*AJ75/100</f>
        <v>0.38</v>
      </c>
      <c r="AN75" s="1">
        <f t="shared" si="17"/>
        <v>53.2</v>
      </c>
      <c r="AO75" s="1" t="s">
        <v>19</v>
      </c>
      <c r="AP75" s="1">
        <f>10*C8/100</f>
        <v>20</v>
      </c>
      <c r="AQ75" s="1">
        <f>$I$14</f>
        <v>100</v>
      </c>
      <c r="AR75" s="1">
        <f>AP75*AQ75/100</f>
        <v>20</v>
      </c>
      <c r="AS75" s="1">
        <v>8</v>
      </c>
      <c r="AT75" s="1">
        <v>0.5</v>
      </c>
      <c r="AU75" s="1">
        <v>67</v>
      </c>
      <c r="AV75" s="1">
        <f>AR75*AS75/100</f>
        <v>1.6</v>
      </c>
      <c r="AW75" s="1">
        <f>AR75*AT75/100</f>
        <v>0.1</v>
      </c>
      <c r="AX75" s="1">
        <f t="shared" si="20"/>
        <v>13.4</v>
      </c>
      <c r="AY75" s="1" t="s">
        <v>19</v>
      </c>
      <c r="AZ75" s="1">
        <f>7*C9/100</f>
        <v>21</v>
      </c>
      <c r="BA75" s="1">
        <f>$I$14</f>
        <v>100</v>
      </c>
      <c r="BB75" s="1">
        <f>AZ75*BA75/100</f>
        <v>21</v>
      </c>
      <c r="BC75" s="1">
        <v>10</v>
      </c>
      <c r="BD75" s="1">
        <v>0.5</v>
      </c>
      <c r="BE75" s="1">
        <v>50</v>
      </c>
      <c r="BF75" s="1">
        <f>BB75*BC75/100</f>
        <v>2.1</v>
      </c>
      <c r="BG75" s="1">
        <f>BB75*BD75/100</f>
        <v>0.105</v>
      </c>
      <c r="BH75" s="1">
        <f t="shared" si="23"/>
        <v>10.5</v>
      </c>
    </row>
    <row r="76" spans="8:59" ht="12.75">
      <c r="H76" s="1">
        <f>SUM(H74:H75)</f>
        <v>7.0600000000000005</v>
      </c>
      <c r="I76" s="1">
        <f>SUM(I74:I75)</f>
        <v>5.93</v>
      </c>
      <c r="R76" s="1">
        <f>SUM(R74:R75)</f>
        <v>9.54</v>
      </c>
      <c r="S76" s="1">
        <f>SUM(S74:S75)</f>
        <v>8.01</v>
      </c>
      <c r="AB76" s="1">
        <f>SUM(AB74:AB75)</f>
        <v>14.135</v>
      </c>
      <c r="AC76" s="1">
        <f>SUM(AC74:AC75)</f>
        <v>11.659999999999998</v>
      </c>
      <c r="AL76" s="1">
        <f>SUM(AL74:AL75)</f>
        <v>19</v>
      </c>
      <c r="AM76" s="1">
        <f>SUM(AM74:AM75)</f>
        <v>14.591999999999999</v>
      </c>
      <c r="AV76" s="1">
        <f>SUM(AV74:AV75)</f>
        <v>9.6</v>
      </c>
      <c r="AW76" s="1">
        <f>SUM(AW74:AW75)</f>
        <v>8.9</v>
      </c>
      <c r="BF76" s="1">
        <f>SUM(BF74:BF75)</f>
        <v>15.299999999999999</v>
      </c>
      <c r="BG76" s="1">
        <f>SUM(BG74:BG75)</f>
        <v>13.905000000000001</v>
      </c>
    </row>
    <row r="77" spans="3:56" ht="12.75">
      <c r="C77" s="1" t="s">
        <v>42</v>
      </c>
      <c r="D77" s="1" t="s">
        <v>41</v>
      </c>
      <c r="E77" s="1" t="s">
        <v>49</v>
      </c>
      <c r="F77" s="1" t="s">
        <v>19</v>
      </c>
      <c r="M77" s="1" t="s">
        <v>42</v>
      </c>
      <c r="N77" s="1" t="s">
        <v>41</v>
      </c>
      <c r="O77" s="1" t="s">
        <v>49</v>
      </c>
      <c r="P77" s="1" t="s">
        <v>19</v>
      </c>
      <c r="W77" s="1" t="s">
        <v>42</v>
      </c>
      <c r="X77" s="1" t="s">
        <v>41</v>
      </c>
      <c r="Y77" s="1" t="s">
        <v>49</v>
      </c>
      <c r="Z77" s="1" t="s">
        <v>19</v>
      </c>
      <c r="AG77" s="1" t="s">
        <v>42</v>
      </c>
      <c r="AH77" s="1" t="s">
        <v>41</v>
      </c>
      <c r="AI77" s="1" t="s">
        <v>49</v>
      </c>
      <c r="AJ77" s="1" t="s">
        <v>19</v>
      </c>
      <c r="AQ77" s="1" t="s">
        <v>42</v>
      </c>
      <c r="AR77" s="1" t="s">
        <v>41</v>
      </c>
      <c r="AS77" s="1" t="s">
        <v>49</v>
      </c>
      <c r="AT77" s="1" t="s">
        <v>19</v>
      </c>
      <c r="BA77" s="1" t="s">
        <v>42</v>
      </c>
      <c r="BB77" s="1" t="s">
        <v>41</v>
      </c>
      <c r="BC77" s="1" t="s">
        <v>49</v>
      </c>
      <c r="BD77" s="1" t="s">
        <v>19</v>
      </c>
    </row>
    <row r="78" spans="2:56" ht="12.75">
      <c r="B78" s="29" t="s">
        <v>43</v>
      </c>
      <c r="C78" s="1">
        <f>SUM(H52:I68)</f>
        <v>3.425485</v>
      </c>
      <c r="D78" s="1">
        <f>SUM(H52:H68)</f>
        <v>3.2180099999999996</v>
      </c>
      <c r="E78" s="1">
        <f>SUM(I52:I68)</f>
        <v>0.20747500000000002</v>
      </c>
      <c r="F78" s="1">
        <f>J69</f>
        <v>3.925</v>
      </c>
      <c r="L78" s="1" t="s">
        <v>43</v>
      </c>
      <c r="M78" s="1">
        <f>SUM(R52:S68)</f>
        <v>5.443127</v>
      </c>
      <c r="N78" s="1">
        <f>SUM(R52:R68)</f>
        <v>5.094859</v>
      </c>
      <c r="O78" s="1">
        <f>SUM(S52:S68)</f>
        <v>0.348268</v>
      </c>
      <c r="P78" s="1">
        <f>T69</f>
        <v>13.902683</v>
      </c>
      <c r="V78" s="1" t="s">
        <v>43</v>
      </c>
      <c r="W78" s="1">
        <f>SUM(AB52:AC68)</f>
        <v>7.129461500000001</v>
      </c>
      <c r="X78" s="1">
        <f>SUM(AB52:AB68)</f>
        <v>6.618842500000001</v>
      </c>
      <c r="Y78" s="1">
        <f>SUM(AC52:AC68)</f>
        <v>0.5106189999999999</v>
      </c>
      <c r="Z78" s="1">
        <f>AD69</f>
        <v>25.134494999999998</v>
      </c>
      <c r="AF78" s="1" t="s">
        <v>43</v>
      </c>
      <c r="AG78" s="1">
        <f>SUM(AL52:AM68)</f>
        <v>10.145432</v>
      </c>
      <c r="AH78" s="1">
        <f>SUM(AL52:AL68)</f>
        <v>9.386249</v>
      </c>
      <c r="AI78" s="1">
        <f>SUM(AM52:AM68)</f>
        <v>0.7591829999999999</v>
      </c>
      <c r="AJ78" s="1">
        <f>AN69</f>
        <v>46.235698</v>
      </c>
      <c r="AP78" s="1" t="s">
        <v>43</v>
      </c>
      <c r="AQ78" s="1">
        <f>SUM(AV52:AW68)</f>
        <v>6.440239</v>
      </c>
      <c r="AR78" s="1">
        <f>SUM(AV52:AV68)</f>
        <v>6.005202</v>
      </c>
      <c r="AS78" s="1">
        <f>SUM(AW52:AW68)</f>
        <v>0.435037</v>
      </c>
      <c r="AT78" s="1">
        <f>AX69</f>
        <v>19.164879999999997</v>
      </c>
      <c r="AZ78" s="1" t="s">
        <v>43</v>
      </c>
      <c r="BA78" s="1">
        <f>SUM(BF52:BG68)</f>
        <v>6.26367</v>
      </c>
      <c r="BB78" s="1">
        <f>SUM(BF52:BF68)</f>
        <v>5.8277</v>
      </c>
      <c r="BC78" s="1">
        <f>SUM(BG52:BG68)</f>
        <v>0.43597</v>
      </c>
      <c r="BD78" s="1">
        <f>BH69</f>
        <v>13.9364</v>
      </c>
    </row>
    <row r="79" spans="2:56" ht="12.75">
      <c r="B79" s="29" t="s">
        <v>44</v>
      </c>
      <c r="C79" s="1">
        <f>SUM(H52:I68,H70:I72)</f>
        <v>7.706485000000001</v>
      </c>
      <c r="D79" s="1">
        <f>SUM(H52:H68,H70:H72)</f>
        <v>5.447909999999999</v>
      </c>
      <c r="E79" s="1">
        <f>SUM(I52:I68,I70:I72)</f>
        <v>2.2585749999999996</v>
      </c>
      <c r="F79" s="1">
        <f>J69+J73</f>
        <v>4.827999999999999</v>
      </c>
      <c r="L79" s="1" t="s">
        <v>44</v>
      </c>
      <c r="M79" s="1">
        <f>SUM(R52:S68,R70:S72)</f>
        <v>11.547546</v>
      </c>
      <c r="N79" s="1">
        <f>SUM(R52:R68,R70:R72)</f>
        <v>8.257482999999999</v>
      </c>
      <c r="O79" s="1">
        <f>SUM(S52:S68,S70:S72)</f>
        <v>3.290063</v>
      </c>
      <c r="P79" s="1">
        <f>T69+T73</f>
        <v>15.415327999999999</v>
      </c>
      <c r="V79" s="1" t="s">
        <v>44</v>
      </c>
      <c r="W79" s="1">
        <f>SUM(AB52:AC68,AB70:AC72)</f>
        <v>15.666781499999999</v>
      </c>
      <c r="X79" s="1">
        <f>SUM(AB52:AB68,AB70:AB72)</f>
        <v>10.9849875</v>
      </c>
      <c r="Y79" s="1">
        <f>SUM(AC52:AC68,AC70:AC72)</f>
        <v>4.681794</v>
      </c>
      <c r="Z79" s="1">
        <f>AD69+AD73</f>
        <v>27.27237</v>
      </c>
      <c r="AF79" s="1" t="s">
        <v>44</v>
      </c>
      <c r="AG79" s="1">
        <f>SUM(AL52:AM68,AL70:AM72)</f>
        <v>18.633772</v>
      </c>
      <c r="AH79" s="1">
        <f>SUM(AL52:AL68,AL70:AL72)</f>
        <v>13.727948999999999</v>
      </c>
      <c r="AI79" s="1">
        <f>SUM(AM52:AM68,AM70:AM72)</f>
        <v>4.905823</v>
      </c>
      <c r="AJ79" s="1">
        <f>AN69+AN73</f>
        <v>48.365578</v>
      </c>
      <c r="AP79" s="1" t="s">
        <v>44</v>
      </c>
      <c r="AQ79" s="1">
        <f>SUM(AV52:AW68,AV70:AW72)</f>
        <v>13.595909000000002</v>
      </c>
      <c r="AR79" s="1">
        <f>SUM(AV52:AV68,AV70:AV72)</f>
        <v>9.701922</v>
      </c>
      <c r="AS79" s="1">
        <f>SUM(AW52:AW68,AW70:AW72)</f>
        <v>3.893987</v>
      </c>
      <c r="AT79" s="1">
        <f>AX69+AX73</f>
        <v>20.940729999999995</v>
      </c>
      <c r="AZ79" s="1" t="s">
        <v>44</v>
      </c>
      <c r="BA79" s="1">
        <f>SUM(BF52:BG68,BF70:BG72)</f>
        <v>16.706670000000003</v>
      </c>
      <c r="BB79" s="1">
        <f>SUM(BF52:BF68,BF70:BF72)</f>
        <v>11.1767</v>
      </c>
      <c r="BC79" s="1">
        <f>SUM(BG52:BG68,BG70:BG72)</f>
        <v>5.5299700000000005</v>
      </c>
      <c r="BD79" s="1">
        <f>BH69+BH73</f>
        <v>16.546400000000002</v>
      </c>
    </row>
    <row r="80" spans="2:56" ht="12.75">
      <c r="B80" s="29" t="s">
        <v>46</v>
      </c>
      <c r="C80" s="1">
        <f>SUM(H74:I74)</f>
        <v>12.04</v>
      </c>
      <c r="D80" s="1">
        <f>H74</f>
        <v>6.16</v>
      </c>
      <c r="E80" s="1">
        <f>I74</f>
        <v>5.88</v>
      </c>
      <c r="F80" s="1">
        <f>+J74</f>
        <v>4.2</v>
      </c>
      <c r="L80" s="1" t="s">
        <v>46</v>
      </c>
      <c r="M80" s="1">
        <f>SUM(R74:S74)</f>
        <v>15.84</v>
      </c>
      <c r="N80" s="1">
        <f>R74</f>
        <v>7.92</v>
      </c>
      <c r="O80" s="1">
        <f>S74</f>
        <v>7.92</v>
      </c>
      <c r="P80" s="1">
        <f>+T74</f>
        <v>7.2</v>
      </c>
      <c r="V80" s="1" t="s">
        <v>46</v>
      </c>
      <c r="W80" s="1">
        <f>SUM(AB74:AC74)</f>
        <v>22.99</v>
      </c>
      <c r="X80" s="1">
        <f>AB74</f>
        <v>11.495</v>
      </c>
      <c r="Y80" s="1">
        <f>AC74</f>
        <v>11.495</v>
      </c>
      <c r="Z80" s="1">
        <f>+AD74</f>
        <v>11.495</v>
      </c>
      <c r="AB80" s="1">
        <f>SUM(X52:X75)</f>
        <v>172.757</v>
      </c>
      <c r="AF80" s="1" t="s">
        <v>46</v>
      </c>
      <c r="AG80" s="1">
        <f>SUM(AL74:AM74)</f>
        <v>27.131999999999998</v>
      </c>
      <c r="AH80" s="1">
        <f>AL74</f>
        <v>12.92</v>
      </c>
      <c r="AI80" s="1">
        <f>AM74</f>
        <v>14.211999999999998</v>
      </c>
      <c r="AJ80" s="1">
        <f>+AN74</f>
        <v>16.15</v>
      </c>
      <c r="AL80" s="1">
        <f>SUM(AH52:AH75)</f>
        <v>264.802</v>
      </c>
      <c r="AP80" s="1" t="s">
        <v>46</v>
      </c>
      <c r="AQ80" s="1">
        <f>SUM(AV74:AW74)</f>
        <v>16.8</v>
      </c>
      <c r="AR80" s="1">
        <f>AV74</f>
        <v>8</v>
      </c>
      <c r="AS80" s="1">
        <f>AW74</f>
        <v>8.8</v>
      </c>
      <c r="AT80" s="1">
        <f>+AX74</f>
        <v>9.2</v>
      </c>
      <c r="AZ80" s="1" t="s">
        <v>46</v>
      </c>
      <c r="BA80" s="1">
        <f>SUM(BF74:BG74)</f>
        <v>27</v>
      </c>
      <c r="BB80" s="1">
        <f>BF74</f>
        <v>13.2</v>
      </c>
      <c r="BC80" s="1">
        <f>BG74</f>
        <v>13.8</v>
      </c>
      <c r="BD80" s="1">
        <f>+BH74</f>
        <v>10.8</v>
      </c>
    </row>
    <row r="81" spans="2:56" ht="12.75">
      <c r="B81" s="29" t="s">
        <v>45</v>
      </c>
      <c r="C81" s="1">
        <f>SUM(H75:I75)</f>
        <v>0.9500000000000001</v>
      </c>
      <c r="D81" s="1">
        <f>H75</f>
        <v>0.9</v>
      </c>
      <c r="E81" s="1">
        <f>I75</f>
        <v>0.05</v>
      </c>
      <c r="F81" s="1">
        <f>J75</f>
        <v>1</v>
      </c>
      <c r="L81" s="1" t="s">
        <v>45</v>
      </c>
      <c r="M81" s="1">
        <f>SUM(R75:S75)</f>
        <v>1.7100000000000002</v>
      </c>
      <c r="N81" s="1">
        <f>R75</f>
        <v>1.62</v>
      </c>
      <c r="O81" s="1">
        <f>S75</f>
        <v>0.09</v>
      </c>
      <c r="P81" s="1">
        <f>T75</f>
        <v>11.7</v>
      </c>
      <c r="V81" s="1" t="s">
        <v>45</v>
      </c>
      <c r="W81" s="1">
        <f>SUM(AB75:AC75)</f>
        <v>2.805</v>
      </c>
      <c r="X81" s="1">
        <f>AB75</f>
        <v>2.64</v>
      </c>
      <c r="Y81" s="1">
        <f>AC75</f>
        <v>0.165</v>
      </c>
      <c r="Z81" s="1">
        <f>AD75</f>
        <v>22.11</v>
      </c>
      <c r="AF81" s="1" t="s">
        <v>45</v>
      </c>
      <c r="AG81" s="1">
        <f>SUM(AL75:AM75)</f>
        <v>6.46</v>
      </c>
      <c r="AH81" s="1">
        <f>AL75</f>
        <v>6.08</v>
      </c>
      <c r="AI81" s="1">
        <f>AM75</f>
        <v>0.38</v>
      </c>
      <c r="AJ81" s="1">
        <f>AN75</f>
        <v>53.2</v>
      </c>
      <c r="AP81" s="1" t="s">
        <v>45</v>
      </c>
      <c r="AQ81" s="1">
        <f>SUM(AV75:AW75)</f>
        <v>1.7000000000000002</v>
      </c>
      <c r="AR81" s="1">
        <f>AV75</f>
        <v>1.6</v>
      </c>
      <c r="AS81" s="1">
        <f>AW75</f>
        <v>0.1</v>
      </c>
      <c r="AT81" s="1">
        <f>AX75</f>
        <v>13.4</v>
      </c>
      <c r="AZ81" s="1" t="s">
        <v>45</v>
      </c>
      <c r="BA81" s="1">
        <f>SUM(BF75:BG75)</f>
        <v>2.205</v>
      </c>
      <c r="BB81" s="1">
        <f>BF75</f>
        <v>2.1</v>
      </c>
      <c r="BC81" s="1">
        <f>BG75</f>
        <v>0.105</v>
      </c>
      <c r="BD81" s="1">
        <f>BH75</f>
        <v>10.5</v>
      </c>
    </row>
    <row r="82" spans="2:56" ht="12.75">
      <c r="B82" s="29" t="s">
        <v>50</v>
      </c>
      <c r="C82" s="1">
        <f>SUM(H70:I72)</f>
        <v>4.280999999999999</v>
      </c>
      <c r="D82" s="1">
        <f>SUM(H70:H72)</f>
        <v>2.2298999999999998</v>
      </c>
      <c r="E82" s="1">
        <f>SUM(I70:I72)</f>
        <v>2.0511</v>
      </c>
      <c r="F82" s="1">
        <f>J73</f>
        <v>0.903</v>
      </c>
      <c r="L82" s="1" t="s">
        <v>50</v>
      </c>
      <c r="M82" s="1">
        <f>SUM(R70:S72)</f>
        <v>6.104419</v>
      </c>
      <c r="N82" s="1">
        <f>SUM(R70:R72)</f>
        <v>3.162624</v>
      </c>
      <c r="O82" s="1">
        <f>SUM(S70:S72)</f>
        <v>2.941795</v>
      </c>
      <c r="P82" s="1">
        <f>T73</f>
        <v>1.512645</v>
      </c>
      <c r="V82" s="1" t="s">
        <v>50</v>
      </c>
      <c r="W82" s="1">
        <f>SUM(AB70:AC72)</f>
        <v>8.537320000000001</v>
      </c>
      <c r="X82" s="1">
        <f>SUM(AB70:AB72)</f>
        <v>4.3661449999999995</v>
      </c>
      <c r="Y82" s="1">
        <f>SUM(AC70:AC72)</f>
        <v>4.171175</v>
      </c>
      <c r="Z82" s="1">
        <f>AD73</f>
        <v>2.1378749999999997</v>
      </c>
      <c r="AF82" s="1" t="s">
        <v>50</v>
      </c>
      <c r="AG82" s="1">
        <f>SUM(AL70:AM72)</f>
        <v>8.48834</v>
      </c>
      <c r="AH82" s="1">
        <f>SUM(AL70:AL72)</f>
        <v>4.3417</v>
      </c>
      <c r="AI82" s="1">
        <f>SUM(AM70:AM72)</f>
        <v>4.14664</v>
      </c>
      <c r="AJ82" s="1">
        <f>AN73</f>
        <v>2.12988</v>
      </c>
      <c r="AP82" s="1" t="s">
        <v>50</v>
      </c>
      <c r="AQ82" s="1">
        <f>SUM(AV70:AW72)</f>
        <v>7.155670000000001</v>
      </c>
      <c r="AR82" s="1">
        <f>SUM(AV70:AV72)</f>
        <v>3.69672</v>
      </c>
      <c r="AS82" s="1">
        <f>SUM(AW70:AW72)</f>
        <v>3.4589499999999997</v>
      </c>
      <c r="AT82" s="1">
        <f>AX73</f>
        <v>1.7758500000000002</v>
      </c>
      <c r="AZ82" s="1" t="s">
        <v>50</v>
      </c>
      <c r="BA82" s="1">
        <f>SUM(BF70:BG72)</f>
        <v>10.443</v>
      </c>
      <c r="BB82" s="1">
        <f>SUM(BF70:BF72)</f>
        <v>5.349</v>
      </c>
      <c r="BC82" s="1">
        <f>SUM(BG70:BG72)</f>
        <v>5.094</v>
      </c>
      <c r="BD82" s="1">
        <f>BH73</f>
        <v>2.6100000000000003</v>
      </c>
    </row>
    <row r="85" spans="2:54" ht="12.75">
      <c r="B85" s="29" t="s">
        <v>78</v>
      </c>
      <c r="D85" s="1">
        <f>SUM(D52:D75)</f>
        <v>67.845</v>
      </c>
      <c r="N85" s="1">
        <f>SUM(N52:N75)</f>
        <v>112.7031</v>
      </c>
      <c r="X85" s="1">
        <f>SUM(X52:X75)</f>
        <v>172.757</v>
      </c>
      <c r="AH85" s="1">
        <f>SUM(AH52:AH75)</f>
        <v>264.802</v>
      </c>
      <c r="AR85" s="1">
        <f>SUM(AR52:AR75)</f>
        <v>134.6668</v>
      </c>
      <c r="BB85" s="1">
        <f>SUM(BB52:BB75)</f>
        <v>156.8</v>
      </c>
    </row>
  </sheetData>
  <mergeCells count="7">
    <mergeCell ref="B16:G16"/>
    <mergeCell ref="H16:J16"/>
    <mergeCell ref="K16:K17"/>
    <mergeCell ref="B1:I1"/>
    <mergeCell ref="B2:D2"/>
    <mergeCell ref="F2:I2"/>
    <mergeCell ref="B15:K15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CSIRO User</dc:creator>
  <cp:keywords/>
  <dc:description/>
  <cp:lastModifiedBy>Jocelyn Midgley</cp:lastModifiedBy>
  <cp:lastPrinted>2001-09-17T23:24:59Z</cp:lastPrinted>
  <dcterms:created xsi:type="dcterms:W3CDTF">2000-07-21T01:46:09Z</dcterms:created>
  <dcterms:modified xsi:type="dcterms:W3CDTF">2002-02-13T07:15:32Z</dcterms:modified>
  <cp:category/>
  <cp:version/>
  <cp:contentType/>
  <cp:contentStatus/>
</cp:coreProperties>
</file>